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Budget Files FY2025\Budget Iterations\"/>
    </mc:Choice>
  </mc:AlternateContent>
  <xr:revisionPtr revIDLastSave="0" documentId="13_ncr:1_{ED910B70-14D0-4F47-8DE1-7FBA19F4C4F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nal Page for Print" sheetId="6" r:id="rId1"/>
    <sheet name="APPENDIX A FOR INPUT" sheetId="4" r:id="rId2"/>
    <sheet name="Budget Distribution" sheetId="11" r:id="rId3"/>
    <sheet name="Revenue Sources" sheetId="12" r:id="rId4"/>
    <sheet name="Operating Budget for Print" sheetId="8" r:id="rId5"/>
  </sheets>
  <externalReferences>
    <externalReference r:id="rId6"/>
  </externalReferences>
  <definedNames>
    <definedName name="_xlnm.Print_Area" localSheetId="1">'APPENDIX A FOR INPUT'!$A$330:$K$348</definedName>
    <definedName name="_xlnm.Print_Area" localSheetId="2">'Budget Distribution'!$E$3:$S$36</definedName>
    <definedName name="_xlnm.Print_Area" localSheetId="4">'Operating Budget for Print'!$A$1:$D$477</definedName>
    <definedName name="_xlnm.Print_Area" localSheetId="3">'Revenue Sources'!$C$9:$N$78</definedName>
    <definedName name="_xlnm.Print_Titles" localSheetId="1">'APPENDIX A FOR INPUT'!$1:$8</definedName>
    <definedName name="_xlnm.Print_Titles" localSheetId="4">'Operating Budget for Print'!$1:$5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4" l="1"/>
  <c r="J382" i="4"/>
  <c r="B465" i="8"/>
  <c r="D475" i="6"/>
  <c r="D475" i="8"/>
  <c r="D474" i="6"/>
  <c r="D474" i="8"/>
  <c r="D473" i="6"/>
  <c r="D473" i="8"/>
  <c r="D428" i="8"/>
  <c r="D427" i="8"/>
  <c r="E351" i="4"/>
  <c r="B459" i="8" l="1"/>
  <c r="B460" i="8"/>
  <c r="C50" i="6" l="1"/>
  <c r="C46" i="6"/>
  <c r="C40" i="6"/>
  <c r="D101" i="8"/>
  <c r="B449" i="8"/>
  <c r="D447" i="8"/>
  <c r="A447" i="8"/>
  <c r="A448" i="8"/>
  <c r="D448" i="8"/>
  <c r="A437" i="8"/>
  <c r="A438" i="8"/>
  <c r="D438" i="8"/>
  <c r="D437" i="8"/>
  <c r="B211" i="8"/>
  <c r="B186" i="8"/>
  <c r="B184" i="8"/>
  <c r="B176" i="8"/>
  <c r="B169" i="8"/>
  <c r="B168" i="8"/>
  <c r="B119" i="8"/>
  <c r="D111" i="8"/>
  <c r="D108" i="8"/>
  <c r="D109" i="8"/>
  <c r="B110" i="8"/>
  <c r="B109" i="8"/>
  <c r="B100" i="8"/>
  <c r="D84" i="8"/>
  <c r="B84" i="8"/>
  <c r="D74" i="8"/>
  <c r="B74" i="8"/>
  <c r="B73" i="8"/>
  <c r="B64" i="8"/>
  <c r="D64" i="8"/>
  <c r="B63" i="8"/>
  <c r="B54" i="8"/>
  <c r="D54" i="8"/>
  <c r="B53" i="8"/>
  <c r="B38" i="8"/>
  <c r="B37" i="8"/>
  <c r="C52" i="6" l="1"/>
  <c r="C5" i="8"/>
  <c r="C11" i="8"/>
  <c r="C12" i="8" s="1"/>
  <c r="C17" i="8"/>
  <c r="C19" i="8"/>
  <c r="C21" i="8"/>
  <c r="C22" i="8" s="1"/>
  <c r="C26" i="8"/>
  <c r="C28" i="8"/>
  <c r="C30" i="8" s="1"/>
  <c r="C29" i="8"/>
  <c r="C34" i="8"/>
  <c r="C36" i="8"/>
  <c r="C39" i="8" s="1"/>
  <c r="C37" i="8"/>
  <c r="C38" i="8"/>
  <c r="C43" i="8"/>
  <c r="C45" i="8"/>
  <c r="C46" i="8" s="1"/>
  <c r="C51" i="8"/>
  <c r="C53" i="8"/>
  <c r="C54" i="8"/>
  <c r="C55" i="8"/>
  <c r="C60" i="8"/>
  <c r="C62" i="8"/>
  <c r="C63" i="8"/>
  <c r="C64" i="8"/>
  <c r="C65" i="8"/>
  <c r="C70" i="8"/>
  <c r="C72" i="8"/>
  <c r="C73" i="8"/>
  <c r="C74" i="8"/>
  <c r="C75" i="8"/>
  <c r="C80" i="8"/>
  <c r="C82" i="8"/>
  <c r="C83" i="8"/>
  <c r="C84" i="8"/>
  <c r="C85" i="8"/>
  <c r="C90" i="8"/>
  <c r="C92" i="8"/>
  <c r="C93" i="8" s="1"/>
  <c r="C97" i="8"/>
  <c r="C99" i="8"/>
  <c r="C100" i="8"/>
  <c r="C101" i="8"/>
  <c r="C106" i="8"/>
  <c r="C108" i="8"/>
  <c r="C109" i="8"/>
  <c r="C110" i="8"/>
  <c r="C111" i="8"/>
  <c r="C116" i="8"/>
  <c r="C118" i="8"/>
  <c r="C119" i="8"/>
  <c r="C120" i="8"/>
  <c r="C126" i="8"/>
  <c r="C130" i="8"/>
  <c r="C133" i="8" s="1"/>
  <c r="C131" i="8"/>
  <c r="C132" i="8"/>
  <c r="C138" i="8"/>
  <c r="C142" i="8"/>
  <c r="C144" i="8" s="1"/>
  <c r="C143" i="8"/>
  <c r="C148" i="8"/>
  <c r="C150" i="8"/>
  <c r="C151" i="8" s="1"/>
  <c r="C156" i="8"/>
  <c r="C160" i="8"/>
  <c r="C162" i="8" s="1"/>
  <c r="C161" i="8"/>
  <c r="C166" i="8"/>
  <c r="C168" i="8"/>
  <c r="C169" i="8"/>
  <c r="C174" i="8"/>
  <c r="C176" i="8"/>
  <c r="C178" i="8" s="1"/>
  <c r="C177" i="8"/>
  <c r="C182" i="8"/>
  <c r="C184" i="8"/>
  <c r="C185" i="8"/>
  <c r="C186" i="8"/>
  <c r="C191" i="8"/>
  <c r="C193" i="8"/>
  <c r="C194" i="8"/>
  <c r="C195" i="8"/>
  <c r="C200" i="8"/>
  <c r="C202" i="8"/>
  <c r="C203" i="8"/>
  <c r="C204" i="8"/>
  <c r="C209" i="8"/>
  <c r="C211" i="8"/>
  <c r="C212" i="8"/>
  <c r="C213" i="8"/>
  <c r="C218" i="8"/>
  <c r="C220" i="8"/>
  <c r="C221" i="8"/>
  <c r="C222" i="8"/>
  <c r="C228" i="8"/>
  <c r="C232" i="8"/>
  <c r="C235" i="8" s="1"/>
  <c r="C233" i="8"/>
  <c r="C234" i="8"/>
  <c r="C239" i="8"/>
  <c r="C241" i="8"/>
  <c r="C242" i="8"/>
  <c r="C247" i="8"/>
  <c r="C249" i="8"/>
  <c r="C251" i="8" s="1"/>
  <c r="C250" i="8"/>
  <c r="C255" i="8"/>
  <c r="C257" i="8"/>
  <c r="C258" i="8" s="1"/>
  <c r="C263" i="8"/>
  <c r="C265" i="8"/>
  <c r="C266" i="8"/>
  <c r="C267" i="8"/>
  <c r="C268" i="8"/>
  <c r="C273" i="8"/>
  <c r="C275" i="8"/>
  <c r="C276" i="8" s="1"/>
  <c r="C280" i="8"/>
  <c r="C282" i="8"/>
  <c r="C283" i="8" s="1"/>
  <c r="C288" i="8"/>
  <c r="C292" i="8"/>
  <c r="C294" i="8" s="1"/>
  <c r="C293" i="8"/>
  <c r="C299" i="8"/>
  <c r="C301" i="8"/>
  <c r="C302" i="8"/>
  <c r="C307" i="8"/>
  <c r="C309" i="8"/>
  <c r="C310" i="8"/>
  <c r="C315" i="8"/>
  <c r="C317" i="8"/>
  <c r="C318" i="8"/>
  <c r="C319" i="8"/>
  <c r="C324" i="8"/>
  <c r="C326" i="8"/>
  <c r="C327" i="8"/>
  <c r="C328" i="8"/>
  <c r="C333" i="8"/>
  <c r="C335" i="8"/>
  <c r="C336" i="8"/>
  <c r="C337" i="8"/>
  <c r="C343" i="8"/>
  <c r="C347" i="8"/>
  <c r="C348" i="8"/>
  <c r="C353" i="8"/>
  <c r="C357" i="8"/>
  <c r="C359" i="8" s="1"/>
  <c r="C358" i="8"/>
  <c r="C363" i="8"/>
  <c r="C365" i="8"/>
  <c r="C366" i="8" s="1"/>
  <c r="C371" i="8"/>
  <c r="C375" i="8"/>
  <c r="C376" i="8" s="1"/>
  <c r="C380" i="8"/>
  <c r="C382" i="8"/>
  <c r="C383" i="8"/>
  <c r="C384" i="8"/>
  <c r="C385" i="8"/>
  <c r="C391" i="8"/>
  <c r="C393" i="8"/>
  <c r="C394" i="8"/>
  <c r="C399" i="8"/>
  <c r="C401" i="8"/>
  <c r="C402" i="8"/>
  <c r="C407" i="8"/>
  <c r="C409" i="8"/>
  <c r="C410" i="8"/>
  <c r="C415" i="8"/>
  <c r="C417" i="8"/>
  <c r="C418" i="8" s="1"/>
  <c r="C422" i="8"/>
  <c r="C424" i="8"/>
  <c r="C425" i="8" s="1"/>
  <c r="C433" i="8"/>
  <c r="C435" i="8"/>
  <c r="C436" i="8"/>
  <c r="C437" i="8"/>
  <c r="C443" i="8"/>
  <c r="C447" i="8"/>
  <c r="C448" i="8"/>
  <c r="C445" i="8"/>
  <c r="C446" i="8"/>
  <c r="C449" i="8"/>
  <c r="C455" i="8"/>
  <c r="C457" i="8"/>
  <c r="C458" i="8"/>
  <c r="C460" i="8"/>
  <c r="C461" i="8"/>
  <c r="C462" i="8"/>
  <c r="C463" i="8"/>
  <c r="C464" i="8"/>
  <c r="C214" i="8" l="1"/>
  <c r="C329" i="8"/>
  <c r="C439" i="8"/>
  <c r="C223" i="8"/>
  <c r="C338" i="8"/>
  <c r="C303" i="8"/>
  <c r="C395" i="8"/>
  <c r="C86" i="8"/>
  <c r="C320" i="8"/>
  <c r="C403" i="8"/>
  <c r="C56" i="8"/>
  <c r="C102" i="8"/>
  <c r="C121" i="8"/>
  <c r="C76" i="8"/>
  <c r="C243" i="8"/>
  <c r="C465" i="8"/>
  <c r="C187" i="8"/>
  <c r="C269" i="8"/>
  <c r="C411" i="8"/>
  <c r="C387" i="8"/>
  <c r="C205" i="8"/>
  <c r="C66" i="8"/>
  <c r="C311" i="8"/>
  <c r="C170" i="8"/>
  <c r="C112" i="8"/>
  <c r="C196" i="8"/>
  <c r="J214" i="4"/>
  <c r="C477" i="8" l="1"/>
  <c r="G18" i="6"/>
  <c r="C11" i="6" s="1"/>
  <c r="G21" i="6"/>
  <c r="J235" i="4" l="1"/>
  <c r="J505" i="4" l="1"/>
  <c r="G491" i="4"/>
  <c r="J149" i="4" l="1"/>
  <c r="J189" i="4"/>
  <c r="J394" i="4"/>
  <c r="J433" i="4"/>
  <c r="J454" i="4"/>
  <c r="J460" i="4"/>
  <c r="J485" i="4"/>
  <c r="J475" i="4"/>
  <c r="J509" i="4"/>
  <c r="J543" i="4"/>
  <c r="B40" i="6" l="1"/>
  <c r="B43" i="6" s="1"/>
  <c r="J352" i="4"/>
  <c r="J353" i="4"/>
  <c r="J354" i="4"/>
  <c r="J355" i="4"/>
  <c r="J356" i="4"/>
  <c r="J357" i="4"/>
  <c r="J358" i="4"/>
  <c r="J351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46" i="4"/>
  <c r="J262" i="4"/>
  <c r="I382" i="4" l="1"/>
  <c r="G7" i="6" l="1"/>
  <c r="G11" i="6"/>
  <c r="C11" i="11"/>
  <c r="C12" i="11"/>
  <c r="G23" i="6"/>
  <c r="G22" i="6"/>
  <c r="C31" i="6"/>
  <c r="C4" i="12"/>
  <c r="B4" i="12"/>
  <c r="J389" i="4"/>
  <c r="J89" i="4"/>
  <c r="J391" i="4"/>
  <c r="G20" i="6"/>
  <c r="I386" i="4"/>
  <c r="H386" i="4"/>
  <c r="J386" i="4"/>
  <c r="H230" i="4" l="1"/>
  <c r="H221" i="4"/>
  <c r="H222" i="4"/>
  <c r="H223" i="4"/>
  <c r="H224" i="4"/>
  <c r="H225" i="4"/>
  <c r="H226" i="4"/>
  <c r="H227" i="4"/>
  <c r="H228" i="4"/>
  <c r="H229" i="4"/>
  <c r="H232" i="4"/>
  <c r="H233" i="4"/>
  <c r="H235" i="4"/>
  <c r="H236" i="4"/>
  <c r="H237" i="4"/>
  <c r="H238" i="4"/>
  <c r="H239" i="4"/>
  <c r="H240" i="4"/>
  <c r="H241" i="4"/>
  <c r="H242" i="4"/>
  <c r="H243" i="4"/>
  <c r="H244" i="4"/>
  <c r="H246" i="4"/>
  <c r="H247" i="4"/>
  <c r="H248" i="4"/>
  <c r="H249" i="4"/>
  <c r="H251" i="4"/>
  <c r="H252" i="4"/>
  <c r="H253" i="4"/>
  <c r="H254" i="4"/>
  <c r="H255" i="4"/>
  <c r="H256" i="4"/>
  <c r="H258" i="4"/>
  <c r="H259" i="4"/>
  <c r="H260" i="4"/>
  <c r="I262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H332" i="4"/>
  <c r="H333" i="4"/>
  <c r="H334" i="4"/>
  <c r="H336" i="4"/>
  <c r="H337" i="4"/>
  <c r="H338" i="4"/>
  <c r="H339" i="4"/>
  <c r="H340" i="4"/>
  <c r="H341" i="4"/>
  <c r="H342" i="4"/>
  <c r="H343" i="4"/>
  <c r="H344" i="4"/>
  <c r="H345" i="4"/>
  <c r="H331" i="4"/>
  <c r="J348" i="4"/>
  <c r="H262" i="4" l="1"/>
  <c r="J370" i="4"/>
  <c r="C9" i="11"/>
  <c r="J165" i="4" l="1"/>
  <c r="J121" i="4"/>
  <c r="J106" i="4"/>
  <c r="J24" i="4"/>
  <c r="J379" i="4" l="1"/>
  <c r="J56" i="4" l="1"/>
  <c r="J208" i="4" l="1"/>
  <c r="J385" i="4"/>
  <c r="J390" i="4"/>
  <c r="B7" i="12"/>
  <c r="B6" i="12"/>
  <c r="C6" i="12"/>
  <c r="B5" i="12"/>
  <c r="G9" i="6"/>
  <c r="H16" i="4" l="1"/>
  <c r="H17" i="4"/>
  <c r="H22" i="4"/>
  <c r="H23" i="4"/>
  <c r="H24" i="4"/>
  <c r="H26" i="4"/>
  <c r="H28" i="4"/>
  <c r="H29" i="4"/>
  <c r="H30" i="4"/>
  <c r="H31" i="4"/>
  <c r="H36" i="4"/>
  <c r="H37" i="4"/>
  <c r="H38" i="4"/>
  <c r="H39" i="4"/>
  <c r="H46" i="4"/>
  <c r="H47" i="4"/>
  <c r="H48" i="4"/>
  <c r="H50" i="4"/>
  <c r="H51" i="4"/>
  <c r="H52" i="4"/>
  <c r="H53" i="4"/>
  <c r="H54" i="4"/>
  <c r="H59" i="4"/>
  <c r="H60" i="4"/>
  <c r="H63" i="4"/>
  <c r="H64" i="4"/>
  <c r="H65" i="4"/>
  <c r="H66" i="4"/>
  <c r="H67" i="4"/>
  <c r="H69" i="4"/>
  <c r="H73" i="4"/>
  <c r="H80" i="4"/>
  <c r="H81" i="4"/>
  <c r="H83" i="4"/>
  <c r="H84" i="4"/>
  <c r="H85" i="4"/>
  <c r="H86" i="4"/>
  <c r="H93" i="4"/>
  <c r="H95" i="4"/>
  <c r="H96" i="4"/>
  <c r="H97" i="4"/>
  <c r="H98" i="4"/>
  <c r="H99" i="4"/>
  <c r="H103" i="4"/>
  <c r="H110" i="4"/>
  <c r="H111" i="4"/>
  <c r="H112" i="4"/>
  <c r="H113" i="4"/>
  <c r="H114" i="4"/>
  <c r="H117" i="4"/>
  <c r="H118" i="4"/>
  <c r="H119" i="4"/>
  <c r="H125" i="4"/>
  <c r="H127" i="4"/>
  <c r="H128" i="4"/>
  <c r="H129" i="4"/>
  <c r="H130" i="4"/>
  <c r="H132" i="4"/>
  <c r="H133" i="4"/>
  <c r="H139" i="4"/>
  <c r="H142" i="4"/>
  <c r="H145" i="4"/>
  <c r="H152" i="4"/>
  <c r="H157" i="4"/>
  <c r="H158" i="4"/>
  <c r="H159" i="4"/>
  <c r="H161" i="4"/>
  <c r="H162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3" i="4"/>
  <c r="H184" i="4"/>
  <c r="H185" i="4"/>
  <c r="H186" i="4"/>
  <c r="H188" i="4"/>
  <c r="H192" i="4"/>
  <c r="H193" i="4"/>
  <c r="H198" i="4"/>
  <c r="H203" i="4"/>
  <c r="H208" i="4"/>
  <c r="H214" i="4"/>
  <c r="H215" i="4"/>
  <c r="H220" i="4"/>
  <c r="H267" i="4"/>
  <c r="H268" i="4"/>
  <c r="H269" i="4"/>
  <c r="H270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90" i="4"/>
  <c r="H291" i="4"/>
  <c r="H292" i="4"/>
  <c r="H293" i="4"/>
  <c r="H294" i="4"/>
  <c r="H295" i="4"/>
  <c r="H296" i="4"/>
  <c r="H297" i="4"/>
  <c r="H298" i="4"/>
  <c r="H299" i="4"/>
  <c r="H300" i="4"/>
  <c r="H302" i="4"/>
  <c r="H303" i="4"/>
  <c r="H304" i="4"/>
  <c r="H305" i="4"/>
  <c r="H306" i="4"/>
  <c r="H308" i="4"/>
  <c r="H314" i="4"/>
  <c r="H316" i="4"/>
  <c r="H321" i="4"/>
  <c r="H322" i="4"/>
  <c r="H323" i="4"/>
  <c r="H325" i="4"/>
  <c r="H326" i="4"/>
  <c r="H352" i="4"/>
  <c r="H353" i="4"/>
  <c r="H354" i="4"/>
  <c r="H355" i="4"/>
  <c r="H356" i="4"/>
  <c r="H357" i="4"/>
  <c r="H358" i="4"/>
  <c r="H366" i="4"/>
  <c r="H373" i="4"/>
  <c r="H374" i="4"/>
  <c r="H377" i="4"/>
  <c r="H378" i="4"/>
  <c r="H383" i="4"/>
  <c r="H384" i="4"/>
  <c r="H385" i="4"/>
  <c r="H387" i="4"/>
  <c r="H388" i="4"/>
  <c r="H390" i="4"/>
  <c r="H391" i="4"/>
  <c r="H392" i="4"/>
  <c r="H398" i="4"/>
  <c r="H399" i="4"/>
  <c r="H405" i="4"/>
  <c r="H408" i="4"/>
  <c r="H409" i="4"/>
  <c r="H412" i="4"/>
  <c r="H414" i="4"/>
  <c r="H418" i="4"/>
  <c r="H421" i="4"/>
  <c r="H426" i="4"/>
  <c r="H427" i="4"/>
  <c r="H431" i="4"/>
  <c r="H436" i="4"/>
  <c r="H437" i="4"/>
  <c r="H442" i="4"/>
  <c r="H447" i="4"/>
  <c r="H448" i="4"/>
  <c r="H452" i="4"/>
  <c r="H457" i="4"/>
  <c r="H464" i="4"/>
  <c r="H465" i="4"/>
  <c r="H466" i="4"/>
  <c r="H467" i="4"/>
  <c r="H468" i="4"/>
  <c r="H469" i="4"/>
  <c r="H470" i="4"/>
  <c r="H471" i="4"/>
  <c r="H472" i="4"/>
  <c r="H478" i="4"/>
  <c r="H479" i="4"/>
  <c r="H481" i="4"/>
  <c r="H483" i="4"/>
  <c r="H488" i="4"/>
  <c r="H489" i="4"/>
  <c r="H491" i="4"/>
  <c r="H492" i="4"/>
  <c r="H495" i="4"/>
  <c r="H496" i="4"/>
  <c r="H497" i="4"/>
  <c r="H499" i="4"/>
  <c r="H501" i="4"/>
  <c r="H502" i="4"/>
  <c r="H503" i="4"/>
  <c r="H505" i="4"/>
  <c r="H506" i="4"/>
  <c r="H507" i="4"/>
  <c r="H516" i="4"/>
  <c r="H527" i="4"/>
  <c r="H532" i="4"/>
  <c r="H533" i="4"/>
  <c r="H534" i="4"/>
  <c r="H535" i="4"/>
  <c r="H540" i="4"/>
  <c r="H541" i="4"/>
  <c r="H11" i="4"/>
  <c r="I12" i="4"/>
  <c r="I16" i="4"/>
  <c r="I17" i="4"/>
  <c r="I18" i="4"/>
  <c r="I22" i="4"/>
  <c r="I23" i="4"/>
  <c r="I24" i="4"/>
  <c r="I25" i="4"/>
  <c r="I26" i="4"/>
  <c r="I27" i="4"/>
  <c r="I28" i="4"/>
  <c r="I29" i="4"/>
  <c r="I30" i="4"/>
  <c r="I31" i="4"/>
  <c r="I32" i="4"/>
  <c r="I36" i="4"/>
  <c r="I37" i="4"/>
  <c r="I38" i="4"/>
  <c r="I39" i="4"/>
  <c r="I40" i="4"/>
  <c r="I46" i="4"/>
  <c r="I47" i="4"/>
  <c r="I48" i="4"/>
  <c r="I49" i="4"/>
  <c r="I50" i="4"/>
  <c r="I51" i="4"/>
  <c r="I52" i="4"/>
  <c r="I53" i="4"/>
  <c r="I54" i="4"/>
  <c r="I55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80" i="4"/>
  <c r="I81" i="4"/>
  <c r="I82" i="4"/>
  <c r="I83" i="4"/>
  <c r="I84" i="4"/>
  <c r="I85" i="4"/>
  <c r="I86" i="4"/>
  <c r="I87" i="4"/>
  <c r="I88" i="4"/>
  <c r="I93" i="4"/>
  <c r="I94" i="4"/>
  <c r="I95" i="4"/>
  <c r="I96" i="4"/>
  <c r="I97" i="4"/>
  <c r="I98" i="4"/>
  <c r="I99" i="4"/>
  <c r="I103" i="4"/>
  <c r="I104" i="4"/>
  <c r="I105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5" i="4"/>
  <c r="I126" i="4"/>
  <c r="I127" i="4"/>
  <c r="I128" i="4"/>
  <c r="I129" i="4"/>
  <c r="I130" i="4"/>
  <c r="I131" i="4"/>
  <c r="I132" i="4"/>
  <c r="I133" i="4"/>
  <c r="I134" i="4"/>
  <c r="I135" i="4"/>
  <c r="I139" i="4"/>
  <c r="I140" i="4"/>
  <c r="I141" i="4"/>
  <c r="I142" i="4"/>
  <c r="I143" i="4"/>
  <c r="I144" i="4"/>
  <c r="I145" i="4"/>
  <c r="I146" i="4"/>
  <c r="I147" i="4"/>
  <c r="I148" i="4"/>
  <c r="I152" i="4"/>
  <c r="I153" i="4"/>
  <c r="I157" i="4"/>
  <c r="I158" i="4"/>
  <c r="I159" i="4"/>
  <c r="I160" i="4"/>
  <c r="I161" i="4"/>
  <c r="I162" i="4"/>
  <c r="I163" i="4"/>
  <c r="I164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8" i="4"/>
  <c r="I192" i="4"/>
  <c r="I193" i="4"/>
  <c r="I194" i="4"/>
  <c r="I198" i="4"/>
  <c r="I199" i="4"/>
  <c r="I203" i="4"/>
  <c r="I204" i="4"/>
  <c r="I208" i="4"/>
  <c r="I209" i="4"/>
  <c r="I210" i="4"/>
  <c r="I214" i="4"/>
  <c r="I215" i="4"/>
  <c r="I216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10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31" i="4"/>
  <c r="I352" i="4"/>
  <c r="I353" i="4"/>
  <c r="I354" i="4"/>
  <c r="I355" i="4"/>
  <c r="I356" i="4"/>
  <c r="I357" i="4"/>
  <c r="I358" i="4"/>
  <c r="I359" i="4"/>
  <c r="I360" i="4"/>
  <c r="I361" i="4"/>
  <c r="I366" i="4"/>
  <c r="I367" i="4"/>
  <c r="I368" i="4"/>
  <c r="I369" i="4"/>
  <c r="I373" i="4"/>
  <c r="I374" i="4"/>
  <c r="I375" i="4"/>
  <c r="I376" i="4"/>
  <c r="I377" i="4"/>
  <c r="I378" i="4"/>
  <c r="I383" i="4"/>
  <c r="I384" i="4"/>
  <c r="I385" i="4"/>
  <c r="I387" i="4"/>
  <c r="I388" i="4"/>
  <c r="I390" i="4"/>
  <c r="I391" i="4"/>
  <c r="I392" i="4"/>
  <c r="I393" i="4"/>
  <c r="I396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6" i="4"/>
  <c r="I437" i="4"/>
  <c r="I438" i="4"/>
  <c r="I442" i="4"/>
  <c r="I443" i="4"/>
  <c r="I447" i="4"/>
  <c r="I448" i="4"/>
  <c r="I449" i="4"/>
  <c r="I450" i="4"/>
  <c r="I451" i="4"/>
  <c r="I452" i="4"/>
  <c r="I453" i="4"/>
  <c r="I457" i="4"/>
  <c r="I458" i="4"/>
  <c r="I459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8" i="4"/>
  <c r="I479" i="4"/>
  <c r="I480" i="4"/>
  <c r="I481" i="4"/>
  <c r="I482" i="4"/>
  <c r="I483" i="4"/>
  <c r="I484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12" i="4"/>
  <c r="I513" i="4"/>
  <c r="I514" i="4"/>
  <c r="I515" i="4"/>
  <c r="I516" i="4"/>
  <c r="I517" i="4"/>
  <c r="I518" i="4"/>
  <c r="I519" i="4"/>
  <c r="I520" i="4"/>
  <c r="I524" i="4"/>
  <c r="I525" i="4"/>
  <c r="I526" i="4"/>
  <c r="I527" i="4"/>
  <c r="I528" i="4"/>
  <c r="I532" i="4"/>
  <c r="I533" i="4"/>
  <c r="I534" i="4"/>
  <c r="I535" i="4"/>
  <c r="I540" i="4"/>
  <c r="I541" i="4"/>
  <c r="I544" i="4"/>
  <c r="I545" i="4"/>
  <c r="I546" i="4"/>
  <c r="I11" i="4"/>
  <c r="J542" i="4" l="1"/>
  <c r="J539" i="4"/>
  <c r="F24" i="6"/>
  <c r="F23" i="6"/>
  <c r="F21" i="6"/>
  <c r="F20" i="6"/>
  <c r="F18" i="6"/>
  <c r="F12" i="6"/>
  <c r="F29" i="6" s="1"/>
  <c r="B33" i="6"/>
  <c r="B32" i="6"/>
  <c r="B29" i="6"/>
  <c r="C7" i="12" s="1"/>
  <c r="B11" i="6"/>
  <c r="B9" i="6"/>
  <c r="G542" i="4"/>
  <c r="G543" i="4" s="1"/>
  <c r="G536" i="4"/>
  <c r="G529" i="4"/>
  <c r="G521" i="4"/>
  <c r="G509" i="4"/>
  <c r="G485" i="4"/>
  <c r="G475" i="4"/>
  <c r="G460" i="4"/>
  <c r="G454" i="4"/>
  <c r="G444" i="4"/>
  <c r="G439" i="4"/>
  <c r="G397" i="4"/>
  <c r="G389" i="4"/>
  <c r="F22" i="6" s="1"/>
  <c r="G382" i="4"/>
  <c r="G394" i="4" s="1"/>
  <c r="G379" i="4"/>
  <c r="G365" i="4"/>
  <c r="G351" i="4"/>
  <c r="G362" i="4" s="1"/>
  <c r="G348" i="4"/>
  <c r="G328" i="4"/>
  <c r="G309" i="4"/>
  <c r="G265" i="4"/>
  <c r="G286" i="4" s="1"/>
  <c r="G262" i="4"/>
  <c r="G217" i="4"/>
  <c r="G211" i="4"/>
  <c r="G205" i="4"/>
  <c r="G200" i="4"/>
  <c r="G195" i="4"/>
  <c r="G187" i="4"/>
  <c r="G165" i="4"/>
  <c r="G154" i="4"/>
  <c r="G149" i="4"/>
  <c r="G124" i="4"/>
  <c r="G136" i="4" s="1"/>
  <c r="G121" i="4"/>
  <c r="G106" i="4"/>
  <c r="G92" i="4"/>
  <c r="G100" i="4" s="1"/>
  <c r="G79" i="4"/>
  <c r="G89" i="4" s="1"/>
  <c r="G76" i="4"/>
  <c r="G56" i="4"/>
  <c r="G42" i="4"/>
  <c r="G33" i="4"/>
  <c r="G19" i="4"/>
  <c r="G13" i="4"/>
  <c r="J76" i="4"/>
  <c r="C8" i="12" l="1"/>
  <c r="B35" i="6"/>
  <c r="G39" i="6" s="1"/>
  <c r="F19" i="6"/>
  <c r="H106" i="4"/>
  <c r="I106" i="4"/>
  <c r="H121" i="4"/>
  <c r="I121" i="4"/>
  <c r="G370" i="4"/>
  <c r="H365" i="4"/>
  <c r="I365" i="4"/>
  <c r="H124" i="4"/>
  <c r="I124" i="4"/>
  <c r="I92" i="4"/>
  <c r="H92" i="4"/>
  <c r="I79" i="4"/>
  <c r="H79" i="4"/>
  <c r="I165" i="4"/>
  <c r="H165" i="4"/>
  <c r="I379" i="4"/>
  <c r="H379" i="4"/>
  <c r="I265" i="4"/>
  <c r="H265" i="4"/>
  <c r="G311" i="4"/>
  <c r="H309" i="4"/>
  <c r="I309" i="4"/>
  <c r="I187" i="4"/>
  <c r="H187" i="4"/>
  <c r="H348" i="4"/>
  <c r="I348" i="4"/>
  <c r="I539" i="4"/>
  <c r="H539" i="4"/>
  <c r="H382" i="4"/>
  <c r="H509" i="4"/>
  <c r="I509" i="4"/>
  <c r="I351" i="4"/>
  <c r="H351" i="4"/>
  <c r="G433" i="4"/>
  <c r="I397" i="4"/>
  <c r="H397" i="4"/>
  <c r="G189" i="4"/>
  <c r="H542" i="4"/>
  <c r="I542" i="4"/>
  <c r="H149" i="4"/>
  <c r="I149" i="4"/>
  <c r="I76" i="4"/>
  <c r="H76" i="4"/>
  <c r="J136" i="4"/>
  <c r="F27" i="6" l="1"/>
  <c r="F17" i="6"/>
  <c r="G547" i="4"/>
  <c r="G46" i="6" s="1"/>
  <c r="I370" i="4"/>
  <c r="H370" i="4"/>
  <c r="I433" i="4"/>
  <c r="H433" i="4"/>
  <c r="I136" i="4"/>
  <c r="H136" i="4"/>
  <c r="G19" i="6"/>
  <c r="F25" i="6" l="1"/>
  <c r="F28" i="6" s="1"/>
  <c r="F30" i="6" s="1"/>
  <c r="H543" i="4"/>
  <c r="I543" i="4"/>
  <c r="F536" i="4"/>
  <c r="H389" i="4" l="1"/>
  <c r="I389" i="4"/>
  <c r="G24" i="6"/>
  <c r="G12" i="6" l="1"/>
  <c r="G29" i="6" s="1"/>
  <c r="C9" i="6"/>
  <c r="J13" i="4"/>
  <c r="J19" i="4"/>
  <c r="J529" i="4"/>
  <c r="J521" i="4"/>
  <c r="J362" i="4"/>
  <c r="J328" i="4"/>
  <c r="J311" i="4"/>
  <c r="J286" i="4"/>
  <c r="J154" i="4"/>
  <c r="J100" i="4"/>
  <c r="J33" i="4"/>
  <c r="F76" i="4"/>
  <c r="F56" i="4"/>
  <c r="F33" i="4"/>
  <c r="H12" i="6"/>
  <c r="C6" i="11" l="1"/>
  <c r="C7" i="11"/>
  <c r="H362" i="4"/>
  <c r="I362" i="4"/>
  <c r="I521" i="4"/>
  <c r="H521" i="4"/>
  <c r="H13" i="4"/>
  <c r="I13" i="4"/>
  <c r="H529" i="4"/>
  <c r="I529" i="4"/>
  <c r="H19" i="4"/>
  <c r="I19" i="4"/>
  <c r="I100" i="4"/>
  <c r="H100" i="4"/>
  <c r="H328" i="4"/>
  <c r="I328" i="4"/>
  <c r="I485" i="4"/>
  <c r="H485" i="4"/>
  <c r="I89" i="4"/>
  <c r="H89" i="4"/>
  <c r="H154" i="4"/>
  <c r="I154" i="4"/>
  <c r="I33" i="4"/>
  <c r="H33" i="4"/>
  <c r="H189" i="4"/>
  <c r="I189" i="4"/>
  <c r="I311" i="4"/>
  <c r="H311" i="4"/>
  <c r="I286" i="4"/>
  <c r="H286" i="4"/>
  <c r="I56" i="4"/>
  <c r="H56" i="4"/>
  <c r="E394" i="4"/>
  <c r="F100" i="4" l="1"/>
  <c r="F370" i="4" l="1"/>
  <c r="H460" i="4" l="1"/>
  <c r="I460" i="4"/>
  <c r="E543" i="4"/>
  <c r="E536" i="4"/>
  <c r="E529" i="4"/>
  <c r="E521" i="4"/>
  <c r="E509" i="4"/>
  <c r="E485" i="4"/>
  <c r="E475" i="4"/>
  <c r="E460" i="4"/>
  <c r="E454" i="4"/>
  <c r="E444" i="4"/>
  <c r="E439" i="4"/>
  <c r="E433" i="4"/>
  <c r="E379" i="4"/>
  <c r="E370" i="4"/>
  <c r="E362" i="4"/>
  <c r="E348" i="4"/>
  <c r="E328" i="4"/>
  <c r="E311" i="4"/>
  <c r="E286" i="4"/>
  <c r="E262" i="4"/>
  <c r="E211" i="4"/>
  <c r="E205" i="4"/>
  <c r="E200" i="4"/>
  <c r="E195" i="4"/>
  <c r="E189" i="4"/>
  <c r="E165" i="4"/>
  <c r="E154" i="4"/>
  <c r="E149" i="4"/>
  <c r="E136" i="4"/>
  <c r="E121" i="4"/>
  <c r="E106" i="4"/>
  <c r="E100" i="4"/>
  <c r="E89" i="4"/>
  <c r="E76" i="4"/>
  <c r="E56" i="4"/>
  <c r="E42" i="4"/>
  <c r="E33" i="4"/>
  <c r="E19" i="4"/>
  <c r="E13" i="4"/>
  <c r="E217" i="4" l="1"/>
  <c r="E547" i="4" s="1"/>
  <c r="D459" i="8" l="1"/>
  <c r="D384" i="8" l="1"/>
  <c r="B384" i="8"/>
  <c r="D195" i="8"/>
  <c r="B85" i="8" l="1"/>
  <c r="F379" i="4"/>
  <c r="B402" i="8"/>
  <c r="B382" i="8"/>
  <c r="B387" i="8" s="1"/>
  <c r="B337" i="8"/>
  <c r="B328" i="8"/>
  <c r="B327" i="8"/>
  <c r="B326" i="8"/>
  <c r="B319" i="8"/>
  <c r="B310" i="8"/>
  <c r="B282" i="8"/>
  <c r="B268" i="8"/>
  <c r="B242" i="8"/>
  <c r="B177" i="8"/>
  <c r="B111" i="8"/>
  <c r="B101" i="8"/>
  <c r="B99" i="8"/>
  <c r="B75" i="8"/>
  <c r="B65" i="8"/>
  <c r="B55" i="8"/>
  <c r="B45" i="8"/>
  <c r="B29" i="8"/>
  <c r="B28" i="8"/>
  <c r="B11" i="8"/>
  <c r="B241" i="8" l="1"/>
  <c r="D241" i="8" l="1"/>
  <c r="D185" i="8"/>
  <c r="D385" i="8"/>
  <c r="J536" i="4"/>
  <c r="C10" i="11"/>
  <c r="J444" i="4"/>
  <c r="J439" i="4"/>
  <c r="C8" i="11"/>
  <c r="J217" i="4"/>
  <c r="J211" i="4"/>
  <c r="J205" i="4"/>
  <c r="J200" i="4"/>
  <c r="J195" i="4"/>
  <c r="B283" i="8"/>
  <c r="J547" i="4" l="1"/>
  <c r="C13" i="11"/>
  <c r="C16" i="11" s="1"/>
  <c r="G17" i="6"/>
  <c r="H454" i="4"/>
  <c r="I454" i="4"/>
  <c r="H475" i="4"/>
  <c r="I475" i="4"/>
  <c r="H444" i="4"/>
  <c r="I444" i="4"/>
  <c r="H217" i="4"/>
  <c r="I217" i="4"/>
  <c r="H439" i="4"/>
  <c r="I439" i="4"/>
  <c r="I195" i="4"/>
  <c r="H195" i="4"/>
  <c r="I200" i="4"/>
  <c r="H200" i="4"/>
  <c r="I205" i="4"/>
  <c r="H205" i="4"/>
  <c r="I536" i="4"/>
  <c r="H536" i="4"/>
  <c r="I394" i="4"/>
  <c r="H394" i="4"/>
  <c r="H211" i="4"/>
  <c r="I211" i="4"/>
  <c r="D464" i="8"/>
  <c r="D336" i="8"/>
  <c r="D63" i="8"/>
  <c r="D11" i="8"/>
  <c r="D12" i="8" s="1"/>
  <c r="D21" i="8"/>
  <c r="D22" i="8" s="1"/>
  <c r="D28" i="8"/>
  <c r="D29" i="8"/>
  <c r="D36" i="8"/>
  <c r="D37" i="8"/>
  <c r="D38" i="8"/>
  <c r="D45" i="8"/>
  <c r="D46" i="8" s="1"/>
  <c r="D53" i="8"/>
  <c r="D62" i="8"/>
  <c r="D65" i="8"/>
  <c r="D72" i="8"/>
  <c r="D73" i="8"/>
  <c r="D75" i="8"/>
  <c r="D82" i="8"/>
  <c r="D83" i="8"/>
  <c r="D85" i="8"/>
  <c r="D92" i="8"/>
  <c r="D93" i="8" s="1"/>
  <c r="D99" i="8"/>
  <c r="D100" i="8"/>
  <c r="D110" i="8"/>
  <c r="D118" i="8"/>
  <c r="D119" i="8"/>
  <c r="D126" i="8"/>
  <c r="D130" i="8"/>
  <c r="D133" i="8" s="1"/>
  <c r="D131" i="8"/>
  <c r="D132" i="8"/>
  <c r="D138" i="8"/>
  <c r="D142" i="8"/>
  <c r="D144" i="8" s="1"/>
  <c r="D143" i="8"/>
  <c r="D150" i="8"/>
  <c r="D151" i="8" s="1"/>
  <c r="D156" i="8"/>
  <c r="D160" i="8"/>
  <c r="D162" i="8" s="1"/>
  <c r="D161" i="8"/>
  <c r="D168" i="8"/>
  <c r="D169" i="8"/>
  <c r="D176" i="8"/>
  <c r="D177" i="8"/>
  <c r="D184" i="8"/>
  <c r="D186" i="8"/>
  <c r="D193" i="8"/>
  <c r="D194" i="8"/>
  <c r="D202" i="8"/>
  <c r="D203" i="8"/>
  <c r="D204" i="8"/>
  <c r="D211" i="8"/>
  <c r="D212" i="8"/>
  <c r="D213" i="8"/>
  <c r="D220" i="8"/>
  <c r="D221" i="8"/>
  <c r="D228" i="8"/>
  <c r="D232" i="8"/>
  <c r="D235" i="8" s="1"/>
  <c r="D233" i="8"/>
  <c r="D234" i="8"/>
  <c r="D242" i="8"/>
  <c r="D249" i="8"/>
  <c r="D250" i="8"/>
  <c r="D257" i="8"/>
  <c r="D258" i="8" s="1"/>
  <c r="D265" i="8"/>
  <c r="D266" i="8"/>
  <c r="D267" i="8"/>
  <c r="D268" i="8"/>
  <c r="D275" i="8"/>
  <c r="D276" i="8" s="1"/>
  <c r="D282" i="8"/>
  <c r="D283" i="8" s="1"/>
  <c r="D288" i="8"/>
  <c r="D292" i="8"/>
  <c r="D294" i="8" s="1"/>
  <c r="D293" i="8"/>
  <c r="D301" i="8"/>
  <c r="D302" i="8"/>
  <c r="D309" i="8"/>
  <c r="D310" i="8"/>
  <c r="D317" i="8"/>
  <c r="D318" i="8"/>
  <c r="D319" i="8"/>
  <c r="D326" i="8"/>
  <c r="D327" i="8"/>
  <c r="D328" i="8"/>
  <c r="D335" i="8"/>
  <c r="D337" i="8"/>
  <c r="D343" i="8"/>
  <c r="D347" i="8"/>
  <c r="D348" i="8" s="1"/>
  <c r="D353" i="8"/>
  <c r="D357" i="8"/>
  <c r="D358" i="8"/>
  <c r="D359" i="8" s="1"/>
  <c r="D365" i="8"/>
  <c r="D366" i="8" s="1"/>
  <c r="D371" i="8"/>
  <c r="D375" i="8"/>
  <c r="D376" i="8" s="1"/>
  <c r="D382" i="8"/>
  <c r="D383" i="8"/>
  <c r="D393" i="8"/>
  <c r="D394" i="8"/>
  <c r="D401" i="8"/>
  <c r="D402" i="8"/>
  <c r="D409" i="8"/>
  <c r="D410" i="8"/>
  <c r="D417" i="8"/>
  <c r="D418" i="8" s="1"/>
  <c r="D424" i="8"/>
  <c r="D425" i="8" s="1"/>
  <c r="D435" i="8"/>
  <c r="D436" i="8"/>
  <c r="D445" i="8"/>
  <c r="D446" i="8"/>
  <c r="D457" i="8"/>
  <c r="D458" i="8"/>
  <c r="D460" i="8"/>
  <c r="D461" i="8"/>
  <c r="D462" i="8"/>
  <c r="D463" i="8"/>
  <c r="B170" i="8"/>
  <c r="D449" i="8" l="1"/>
  <c r="D387" i="8"/>
  <c r="B3" i="12"/>
  <c r="G25" i="6"/>
  <c r="D251" i="8"/>
  <c r="D311" i="8"/>
  <c r="D223" i="8"/>
  <c r="D320" i="8"/>
  <c r="D411" i="8"/>
  <c r="D303" i="8"/>
  <c r="D121" i="8"/>
  <c r="H464" i="8"/>
  <c r="D403" i="8"/>
  <c r="D395" i="8"/>
  <c r="D439" i="8"/>
  <c r="D338" i="8"/>
  <c r="D329" i="8"/>
  <c r="D269" i="8"/>
  <c r="D465" i="8"/>
  <c r="D470" i="8" s="1"/>
  <c r="D243" i="8"/>
  <c r="D214" i="8"/>
  <c r="D205" i="8"/>
  <c r="D196" i="8"/>
  <c r="D187" i="8"/>
  <c r="D178" i="8"/>
  <c r="D170" i="8"/>
  <c r="D112" i="8"/>
  <c r="D102" i="8"/>
  <c r="D86" i="8"/>
  <c r="D76" i="8"/>
  <c r="D66" i="8"/>
  <c r="D56" i="8"/>
  <c r="D39" i="8"/>
  <c r="D30" i="8"/>
  <c r="D429" i="8" l="1"/>
  <c r="G28" i="6"/>
  <c r="G45" i="6" l="1"/>
  <c r="F394" i="4"/>
  <c r="F543" i="4"/>
  <c r="F529" i="4"/>
  <c r="F521" i="4"/>
  <c r="F509" i="4"/>
  <c r="F485" i="4"/>
  <c r="F475" i="4"/>
  <c r="F460" i="4"/>
  <c r="F454" i="4"/>
  <c r="F444" i="4"/>
  <c r="F439" i="4"/>
  <c r="F433" i="4"/>
  <c r="F362" i="4"/>
  <c r="F348" i="4"/>
  <c r="F328" i="4"/>
  <c r="F311" i="4"/>
  <c r="F286" i="4"/>
  <c r="F262" i="4"/>
  <c r="F211" i="4"/>
  <c r="F205" i="4"/>
  <c r="F200" i="4"/>
  <c r="F195" i="4"/>
  <c r="F189" i="4"/>
  <c r="F165" i="4"/>
  <c r="F154" i="4"/>
  <c r="F149" i="4"/>
  <c r="F136" i="4"/>
  <c r="F121" i="4"/>
  <c r="F106" i="4"/>
  <c r="F89" i="4"/>
  <c r="F42" i="4"/>
  <c r="F19" i="4"/>
  <c r="F13" i="4"/>
  <c r="F217" i="4" l="1"/>
  <c r="F547" i="4" l="1"/>
  <c r="B418" i="8" l="1"/>
  <c r="B366" i="8"/>
  <c r="B320" i="8" l="1"/>
  <c r="B411" i="8"/>
  <c r="B56" i="8" l="1"/>
  <c r="B359" i="8" l="1"/>
  <c r="H33" i="6" l="1"/>
  <c r="H31" i="6"/>
  <c r="H30" i="6"/>
  <c r="H29" i="6"/>
  <c r="H28" i="6"/>
  <c r="B52" i="11" l="1"/>
  <c r="B51" i="11"/>
  <c r="C5" i="12" l="1"/>
  <c r="S5" i="12"/>
  <c r="S6" i="12"/>
  <c r="A402" i="8" l="1"/>
  <c r="A401" i="8"/>
  <c r="A410" i="8"/>
  <c r="A409" i="8"/>
  <c r="A417" i="8"/>
  <c r="A424" i="8"/>
  <c r="A394" i="8"/>
  <c r="A393" i="8"/>
  <c r="A446" i="8" l="1"/>
  <c r="A445" i="8"/>
  <c r="A436" i="8"/>
  <c r="A435" i="8"/>
  <c r="B439" i="8" l="1"/>
  <c r="B425" i="8" l="1"/>
  <c r="B375" i="8"/>
  <c r="B376" i="8" s="1"/>
  <c r="A373" i="8"/>
  <c r="B371" i="8"/>
  <c r="A369" i="8"/>
  <c r="B357" i="8"/>
  <c r="A355" i="8"/>
  <c r="B353" i="8"/>
  <c r="A351" i="8"/>
  <c r="B347" i="8"/>
  <c r="B348" i="8" s="1"/>
  <c r="A345" i="8"/>
  <c r="B343" i="8"/>
  <c r="A341" i="8"/>
  <c r="B293" i="8"/>
  <c r="B292" i="8"/>
  <c r="B294" i="8" s="1"/>
  <c r="A290" i="8"/>
  <c r="B288" i="8"/>
  <c r="A286" i="8"/>
  <c r="B276" i="8"/>
  <c r="B257" i="8"/>
  <c r="B258" i="8" s="1"/>
  <c r="A255" i="8"/>
  <c r="A254" i="8"/>
  <c r="B234" i="8"/>
  <c r="B233" i="8"/>
  <c r="B232" i="8"/>
  <c r="B235" i="8" s="1"/>
  <c r="A230" i="8"/>
  <c r="B228" i="8"/>
  <c r="A226" i="8"/>
  <c r="B161" i="8"/>
  <c r="B160" i="8"/>
  <c r="B162" i="8" s="1"/>
  <c r="A158" i="8"/>
  <c r="B156" i="8"/>
  <c r="A154" i="8"/>
  <c r="B151" i="8"/>
  <c r="B143" i="8"/>
  <c r="B142" i="8"/>
  <c r="B144" i="8" s="1"/>
  <c r="A140" i="8"/>
  <c r="B138" i="8"/>
  <c r="A136" i="8"/>
  <c r="B132" i="8"/>
  <c r="B131" i="8"/>
  <c r="B130" i="8"/>
  <c r="B133" i="8" s="1"/>
  <c r="A128" i="8"/>
  <c r="B126" i="8"/>
  <c r="A124" i="8"/>
  <c r="B93" i="8"/>
  <c r="B46" i="8"/>
  <c r="A30" i="8"/>
  <c r="B21" i="8"/>
  <c r="B22" i="8" s="1"/>
  <c r="B19" i="8"/>
  <c r="A19" i="8"/>
  <c r="A15" i="8"/>
  <c r="B12" i="8"/>
  <c r="C3" i="8"/>
  <c r="B214" i="8" l="1"/>
  <c r="B303" i="8"/>
  <c r="B329" i="8"/>
  <c r="B66" i="8"/>
  <c r="B251" i="8"/>
  <c r="B205" i="8"/>
  <c r="B311" i="8"/>
  <c r="B196" i="8"/>
  <c r="B223" i="8"/>
  <c r="B243" i="8"/>
  <c r="B338" i="8"/>
  <c r="B30" i="8"/>
  <c r="B102" i="8"/>
  <c r="B178" i="8"/>
  <c r="B269" i="8"/>
  <c r="B121" i="8"/>
  <c r="B76" i="8"/>
  <c r="B187" i="8"/>
  <c r="B86" i="8"/>
  <c r="B112" i="8"/>
  <c r="B39" i="8"/>
  <c r="B403" i="8"/>
  <c r="B395" i="8"/>
  <c r="H42" i="6" l="1"/>
  <c r="S3" i="12"/>
  <c r="C3" i="12"/>
  <c r="C9" i="12" s="1"/>
  <c r="S4" i="12"/>
  <c r="S7" i="12" l="1"/>
  <c r="H27" i="6" l="1"/>
  <c r="B53" i="11" l="1"/>
  <c r="B50" i="11" l="1"/>
  <c r="B48" i="11" l="1"/>
  <c r="B49" i="11" l="1"/>
  <c r="B46" i="11" l="1"/>
  <c r="B47" i="11"/>
  <c r="H26" i="6" l="1"/>
  <c r="H41" i="6" s="1"/>
  <c r="H40" i="6" l="1"/>
  <c r="H43" i="6" s="1"/>
  <c r="B45" i="11" l="1"/>
  <c r="B54" i="11" s="1"/>
  <c r="J42" i="4"/>
  <c r="I42" i="4" l="1"/>
  <c r="H42" i="4"/>
  <c r="I547" i="4" l="1"/>
  <c r="H547" i="4"/>
  <c r="G48" i="6"/>
  <c r="G47" i="6"/>
  <c r="B8" i="12" l="1"/>
  <c r="B9" i="12" s="1"/>
  <c r="C35" i="6" l="1"/>
  <c r="G27" i="6" l="1"/>
  <c r="G30" i="6" s="1"/>
  <c r="G38" i="6"/>
  <c r="G40" i="6" l="1"/>
  <c r="G41" i="6"/>
  <c r="D451" i="8" l="1"/>
  <c r="G467" i="8" s="1"/>
  <c r="D477" i="8"/>
  <c r="B477" i="8"/>
  <c r="B49" i="6"/>
</calcChain>
</file>

<file path=xl/sharedStrings.xml><?xml version="1.0" encoding="utf-8"?>
<sst xmlns="http://schemas.openxmlformats.org/spreadsheetml/2006/main" count="1047" uniqueCount="546">
  <si>
    <t>RESERVE FUND</t>
  </si>
  <si>
    <t xml:space="preserve">RESERVE FUND OR UNFORSEEN     </t>
  </si>
  <si>
    <t>TOTAL</t>
  </si>
  <si>
    <t xml:space="preserve">RESERVE FUND          </t>
  </si>
  <si>
    <t>MODERATOR</t>
  </si>
  <si>
    <t xml:space="preserve">SALARIES-MODERATOR            </t>
  </si>
  <si>
    <t xml:space="preserve">OFFICE SUPPLIES               </t>
  </si>
  <si>
    <t xml:space="preserve">TRAVEL                        </t>
  </si>
  <si>
    <t xml:space="preserve">DUES/SUBSCRIPTION/MEMBERSHIP  </t>
  </si>
  <si>
    <t xml:space="preserve">MODERATOR             </t>
  </si>
  <si>
    <t>SELECTMEN</t>
  </si>
  <si>
    <t xml:space="preserve">SALARIES-BOARD OF SELECTMEN   </t>
  </si>
  <si>
    <t xml:space="preserve">SALARIES-CLERICAL             </t>
  </si>
  <si>
    <t xml:space="preserve">SALARIES-TEMPORARY            </t>
  </si>
  <si>
    <t xml:space="preserve">SALARIES-OVERTIME             </t>
  </si>
  <si>
    <t xml:space="preserve">LONGEVITY                     </t>
  </si>
  <si>
    <t xml:space="preserve">R. &amp; M. VEHICLES              </t>
  </si>
  <si>
    <t xml:space="preserve">ENGINEERING FEES              </t>
  </si>
  <si>
    <t xml:space="preserve">TELEPHONE                     </t>
  </si>
  <si>
    <t xml:space="preserve">COMMUNICATIONS-ADVERTISING    </t>
  </si>
  <si>
    <t xml:space="preserve">TRAINING &amp; TESTING            </t>
  </si>
  <si>
    <t xml:space="preserve">GASOLINE                      </t>
  </si>
  <si>
    <t xml:space="preserve">ADDITIONAL EQUIPMENT          </t>
  </si>
  <si>
    <t xml:space="preserve">SELECTMEN             </t>
  </si>
  <si>
    <t>FINANCE COMMITTEE</t>
  </si>
  <si>
    <t xml:space="preserve">FINANCE COMMITTEE     </t>
  </si>
  <si>
    <t>TOWN ACCOUNTANT</t>
  </si>
  <si>
    <t xml:space="preserve">SALARIES - TOWN ACCOUNTANT    </t>
  </si>
  <si>
    <t xml:space="preserve">AUDITING                      </t>
  </si>
  <si>
    <t xml:space="preserve">GASB 45 VALUATION             </t>
  </si>
  <si>
    <t xml:space="preserve">TOWN ACCOUNTANT       </t>
  </si>
  <si>
    <t>ASSESSORS</t>
  </si>
  <si>
    <t xml:space="preserve">SALARIES - BOARD OF ASSESSORS </t>
  </si>
  <si>
    <t xml:space="preserve">R. &amp; M. OFFICE EQUIPMENT      </t>
  </si>
  <si>
    <t xml:space="preserve">SOFTWARE EXPENSE              </t>
  </si>
  <si>
    <t xml:space="preserve">ASSESSORS             </t>
  </si>
  <si>
    <t>TOWN TREASURER</t>
  </si>
  <si>
    <t xml:space="preserve">SALARIES-TREASURER            </t>
  </si>
  <si>
    <t xml:space="preserve">SALARIES - STIPEND            </t>
  </si>
  <si>
    <t xml:space="preserve">LEGAL- LAND COURT             </t>
  </si>
  <si>
    <t xml:space="preserve">POSTAGE                       </t>
  </si>
  <si>
    <t xml:space="preserve">TOWN TREASURER        </t>
  </si>
  <si>
    <t>TOWN COLLECTOR</t>
  </si>
  <si>
    <t xml:space="preserve">SALARIES-TOWN COLLECTOR       </t>
  </si>
  <si>
    <t xml:space="preserve">TOWN COLLECTOR        </t>
  </si>
  <si>
    <t>TOWN COUNSEL</t>
  </si>
  <si>
    <t xml:space="preserve">COURT JUDGEMENTS              </t>
  </si>
  <si>
    <t xml:space="preserve">TOWN COUNSEL          </t>
  </si>
  <si>
    <t>DATA PROCESSING</t>
  </si>
  <si>
    <t xml:space="preserve">SALARIES-SYSTEM ADMINISTRATOR </t>
  </si>
  <si>
    <t>SOFTWARE MAINTENANCE AGREEMENT</t>
  </si>
  <si>
    <t xml:space="preserve">INTERNET SERVICES             </t>
  </si>
  <si>
    <t xml:space="preserve">RECORD ARCHIVING              </t>
  </si>
  <si>
    <t xml:space="preserve">OTHER SUPPLIES                </t>
  </si>
  <si>
    <t xml:space="preserve">DATA PROCESSING       </t>
  </si>
  <si>
    <t>TOWN CLERK</t>
  </si>
  <si>
    <t xml:space="preserve">SALARIES-TOWN CLERK           </t>
  </si>
  <si>
    <t xml:space="preserve">TOWN CLERK            </t>
  </si>
  <si>
    <t>PLANNING BOARD</t>
  </si>
  <si>
    <t xml:space="preserve">PLANNING BOARD        </t>
  </si>
  <si>
    <t>TOWN  BUILDINGS</t>
  </si>
  <si>
    <t xml:space="preserve">SALARIES - MAINTENANCE        </t>
  </si>
  <si>
    <t xml:space="preserve">ENERGY                        </t>
  </si>
  <si>
    <t xml:space="preserve">R. &amp; M.- BUILDINGS &amp; GROUNDS  </t>
  </si>
  <si>
    <t xml:space="preserve">CUSTODIAL SERVICES            </t>
  </si>
  <si>
    <t xml:space="preserve">SUPPLIES                      </t>
  </si>
  <si>
    <t xml:space="preserve">TOWN  BUILDINGS       </t>
  </si>
  <si>
    <t>PENSIONS</t>
  </si>
  <si>
    <t xml:space="preserve">BRISTOL COUNTY RETIREMENT     </t>
  </si>
  <si>
    <t xml:space="preserve">MEDICARE                      </t>
  </si>
  <si>
    <t xml:space="preserve">PENSIONS              </t>
  </si>
  <si>
    <t>WORKERS COMPENSATION</t>
  </si>
  <si>
    <t xml:space="preserve">FRINGE BENEFIT/CHARGES        </t>
  </si>
  <si>
    <t xml:space="preserve">WORKERS COMPENSATION  </t>
  </si>
  <si>
    <t>UNEMPLOYMENT COMPENSATION</t>
  </si>
  <si>
    <t xml:space="preserve">UNEMPLOYMENT INSURANCE        </t>
  </si>
  <si>
    <t>HEALTH INSURANCE</t>
  </si>
  <si>
    <t>BLUE CROSS/ BLUE SHIELD HEALTH</t>
  </si>
  <si>
    <t xml:space="preserve">FLEXIBLE BENEFIT PLAN         </t>
  </si>
  <si>
    <t xml:space="preserve">HEALTH INSURANCE      </t>
  </si>
  <si>
    <t>LIABILITY INSURANCE</t>
  </si>
  <si>
    <t>INS. PR. DIS.-FIRE-POL. ACC. H</t>
  </si>
  <si>
    <t xml:space="preserve">LIABILITY INSURANCE           </t>
  </si>
  <si>
    <t xml:space="preserve">LIABILITY INSURANCE   </t>
  </si>
  <si>
    <t>POLICE DEPT.</t>
  </si>
  <si>
    <t xml:space="preserve">SALARIES - POLICE CHIEF       </t>
  </si>
  <si>
    <t xml:space="preserve">SALARIES- PERMANENT POSITIONS </t>
  </si>
  <si>
    <t xml:space="preserve">CLOTHING ALLOWANCE            </t>
  </si>
  <si>
    <t xml:space="preserve">R. &amp; M.- SOFTWARE             </t>
  </si>
  <si>
    <t xml:space="preserve">MEALS                         </t>
  </si>
  <si>
    <t xml:space="preserve">EQUIPMENT                     </t>
  </si>
  <si>
    <t xml:space="preserve">POLICE DEPT.          </t>
  </si>
  <si>
    <t>FIRE DEPARTMENT</t>
  </si>
  <si>
    <t xml:space="preserve">SALARIES - FIRE CHIEF         </t>
  </si>
  <si>
    <t xml:space="preserve">SALARIES-TEMPORARY-CALLMEN    </t>
  </si>
  <si>
    <t xml:space="preserve">WATER                         </t>
  </si>
  <si>
    <t xml:space="preserve">R. &amp; M.- EQUIPMENT            </t>
  </si>
  <si>
    <t xml:space="preserve">R. &amp; M.- RADIO                </t>
  </si>
  <si>
    <t xml:space="preserve">MEDICAL EXAMS                 </t>
  </si>
  <si>
    <t xml:space="preserve">TRAINING/CPR/1ST-AID          </t>
  </si>
  <si>
    <t xml:space="preserve">FIRE DEPARTMENT       </t>
  </si>
  <si>
    <t>EMERGENCY MEDICAL SERVICES</t>
  </si>
  <si>
    <t xml:space="preserve">SALARIES - DIRECTOR           </t>
  </si>
  <si>
    <t xml:space="preserve">SALARIES - FINANCE ASST       </t>
  </si>
  <si>
    <t xml:space="preserve">QUALITY ASSURANCE PROGRAM     </t>
  </si>
  <si>
    <t>VEHICLE SUPPLIES - MAINTENANCE</t>
  </si>
  <si>
    <t xml:space="preserve">MEDICAL SURGICAL SUPPLIES     </t>
  </si>
  <si>
    <t>EMERGENCY MEDICAL SERV</t>
  </si>
  <si>
    <t>BUILDING DEPARTMENT</t>
  </si>
  <si>
    <t xml:space="preserve">SALARIES- COMMISSIONER        </t>
  </si>
  <si>
    <t xml:space="preserve">SALARIES - WIRE INSPECTOR     </t>
  </si>
  <si>
    <t>SALARIES-DEPUTY BUILDING INSP.</t>
  </si>
  <si>
    <t>SALARIES-GAS/PLUMBING INSPECT.</t>
  </si>
  <si>
    <t xml:space="preserve">BUILDING DEPARTMENT   </t>
  </si>
  <si>
    <t>ANIMAL CONTROL/DOG OFFICER</t>
  </si>
  <si>
    <t xml:space="preserve">EMERGENCY VET EXPENSES        </t>
  </si>
  <si>
    <t>FORESTRY</t>
  </si>
  <si>
    <t xml:space="preserve">SALARIES-TREE WARDEN          </t>
  </si>
  <si>
    <t xml:space="preserve">TREE REMOVAL                  </t>
  </si>
  <si>
    <t xml:space="preserve">TREE PLANTING                 </t>
  </si>
  <si>
    <t xml:space="preserve">FORESTRY              </t>
  </si>
  <si>
    <t>MISCELLANEOUS</t>
  </si>
  <si>
    <t xml:space="preserve">MISCELLANEOUS         </t>
  </si>
  <si>
    <t>SCHOOL DEPARTMENT</t>
  </si>
  <si>
    <t xml:space="preserve">SCHOOL DEPARTMENT     </t>
  </si>
  <si>
    <t xml:space="preserve">SALARIES-HIGHWAY SUPER.       </t>
  </si>
  <si>
    <t xml:space="preserve">R &amp; M - STREET PAVING/MARKING </t>
  </si>
  <si>
    <t xml:space="preserve">GRASS CUTTING                 </t>
  </si>
  <si>
    <t xml:space="preserve">RECYCLING                     </t>
  </si>
  <si>
    <t xml:space="preserve">POLICE DETAIL                 </t>
  </si>
  <si>
    <t xml:space="preserve">PERSONNEL SAFETY SUPPLIES     </t>
  </si>
  <si>
    <t xml:space="preserve">STREET SIGN SUPPLIES          </t>
  </si>
  <si>
    <t xml:space="preserve">ROAD MATERIALS                </t>
  </si>
  <si>
    <t xml:space="preserve">EQUIPMENT LEASE               </t>
  </si>
  <si>
    <t>SNOW REMOVAL</t>
  </si>
  <si>
    <t>STREET LIGHTS</t>
  </si>
  <si>
    <t xml:space="preserve">STREET LIGHTS         </t>
  </si>
  <si>
    <t>CEMETERY</t>
  </si>
  <si>
    <t>BUILDING REPAIRS/MAINT./SUPPLY</t>
  </si>
  <si>
    <t xml:space="preserve">CEMETERY              </t>
  </si>
  <si>
    <t>HEALTH DEPARTMENT</t>
  </si>
  <si>
    <t xml:space="preserve">SALARIES-BOARD                </t>
  </si>
  <si>
    <t xml:space="preserve">HEALTH DEPARTMENT     </t>
  </si>
  <si>
    <t xml:space="preserve">SALARIES-PERM. POSITION       </t>
  </si>
  <si>
    <t>COUNCIL ON  AGING</t>
  </si>
  <si>
    <t xml:space="preserve">SALARIES-DIRECTOR             </t>
  </si>
  <si>
    <t xml:space="preserve">COUNCIL ON  AGING     </t>
  </si>
  <si>
    <t>VETERANS DEPARTMENT</t>
  </si>
  <si>
    <t xml:space="preserve">VETERANS BENEFITS             </t>
  </si>
  <si>
    <t xml:space="preserve">VETERANS DEPARTMENT   </t>
  </si>
  <si>
    <t>LIBRARY DEPARTMENT</t>
  </si>
  <si>
    <t xml:space="preserve">SALARIES-EDUCATION            </t>
  </si>
  <si>
    <t xml:space="preserve">SALARIES-LIBRARY TECHS.       </t>
  </si>
  <si>
    <t xml:space="preserve">SALARIES-CUSTODIAN PART-TIME  </t>
  </si>
  <si>
    <t xml:space="preserve">TECH SUPPORT                  </t>
  </si>
  <si>
    <t xml:space="preserve">EDUCATION                     </t>
  </si>
  <si>
    <t xml:space="preserve">SAIL EXPENSES                 </t>
  </si>
  <si>
    <t xml:space="preserve">CHILDREN ED. SUPPLIES         </t>
  </si>
  <si>
    <t>OTHER SUPPL.-PURCH./UPDT.BOOKS</t>
  </si>
  <si>
    <t xml:space="preserve">LIBRARY DEPARTMENT    </t>
  </si>
  <si>
    <t>HISTORICAL COMMISSION</t>
  </si>
  <si>
    <t xml:space="preserve">TELEPHONE/ALARM               </t>
  </si>
  <si>
    <t xml:space="preserve">HISTORICAL COMMISSION </t>
  </si>
  <si>
    <t>CELEBRATIONS</t>
  </si>
  <si>
    <t xml:space="preserve">ROAD RACE                     </t>
  </si>
  <si>
    <t xml:space="preserve">HOLIDAYS                      </t>
  </si>
  <si>
    <t xml:space="preserve">OTHER CELEBRATIONS            </t>
  </si>
  <si>
    <t xml:space="preserve">EVENTS                        </t>
  </si>
  <si>
    <t xml:space="preserve">CELEBRATIONS          </t>
  </si>
  <si>
    <t>RETIREMENT OF DEBT</t>
  </si>
  <si>
    <t xml:space="preserve">RETIREMENT OF DEBT    </t>
  </si>
  <si>
    <t>INTEREST</t>
  </si>
  <si>
    <t xml:space="preserve">INTEREST              </t>
  </si>
  <si>
    <t>GRAND TOTAL</t>
  </si>
  <si>
    <t>% CHANGE</t>
  </si>
  <si>
    <t>TO</t>
  </si>
  <si>
    <t>REQUEST</t>
  </si>
  <si>
    <t>FINCOM</t>
  </si>
  <si>
    <t>RECOMM</t>
  </si>
  <si>
    <t>EXPEND</t>
  </si>
  <si>
    <t>TRANSPORTATION</t>
  </si>
  <si>
    <t>FUND &amp; OBJECT CODE</t>
  </si>
  <si>
    <t>ORG CODE</t>
  </si>
  <si>
    <t>DESCRIPTION</t>
  </si>
  <si>
    <t>Expense</t>
  </si>
  <si>
    <t>Total</t>
  </si>
  <si>
    <t>Stipends</t>
  </si>
  <si>
    <t>Salaries</t>
  </si>
  <si>
    <t>Capital Outlay</t>
  </si>
  <si>
    <t>Veterans Benefits</t>
  </si>
  <si>
    <t>Library</t>
  </si>
  <si>
    <t>HIGHWAY DEPARTMENT</t>
  </si>
  <si>
    <t>(All Figures Are Estimates)</t>
  </si>
  <si>
    <t>REVENUE</t>
  </si>
  <si>
    <t>EXPENSES</t>
  </si>
  <si>
    <r>
      <t>State and County Charges &amp; Deficits</t>
    </r>
    <r>
      <rPr>
        <i/>
        <sz val="12"/>
        <rFont val="Arial MT"/>
      </rPr>
      <t/>
    </r>
  </si>
  <si>
    <t>(1665+12000+261530)</t>
  </si>
  <si>
    <t>Abatements and Exemptions</t>
  </si>
  <si>
    <t>Local Government General Cost</t>
  </si>
  <si>
    <t>Reserved for Debt Exclusion</t>
  </si>
  <si>
    <t>Local Schools-Net School Spending</t>
  </si>
  <si>
    <t>Motor Vehicle Excise</t>
  </si>
  <si>
    <t>Regional Vocational H.S.</t>
  </si>
  <si>
    <t>E.M.S. Receipts Reserved Account</t>
  </si>
  <si>
    <r>
      <t xml:space="preserve">    Surplus/</t>
    </r>
    <r>
      <rPr>
        <b/>
        <sz val="12"/>
        <rFont val="Arial MT"/>
      </rPr>
      <t>(Deficit)</t>
    </r>
  </si>
  <si>
    <t>DEPARTMENT NAME</t>
  </si>
  <si>
    <t>2 1/2 Tax Increase</t>
  </si>
  <si>
    <t>New Growth</t>
  </si>
  <si>
    <t>Debt Exclusion</t>
  </si>
  <si>
    <t xml:space="preserve">CONSULTING                    </t>
  </si>
  <si>
    <t>ACTUAL</t>
  </si>
  <si>
    <t>APPROP</t>
  </si>
  <si>
    <t>SALARIES-TOWN ADMINISTRATOR</t>
  </si>
  <si>
    <t>PATRON SERVICES ASSOCIATE</t>
  </si>
  <si>
    <t>Overlay Surplus - ATM</t>
  </si>
  <si>
    <t>OTHER CHARGES</t>
  </si>
  <si>
    <t>WEIGHTS &amp; MEASURES</t>
  </si>
  <si>
    <t xml:space="preserve">TRAVEL/TRAINING                        </t>
  </si>
  <si>
    <t>RECERTIFICATION</t>
  </si>
  <si>
    <t xml:space="preserve">SALARIES- CLERICAL        </t>
  </si>
  <si>
    <t>ELECTIONS &amp; REGISTRATIONS</t>
  </si>
  <si>
    <t>OTHER CHARGES ELECTIONS</t>
  </si>
  <si>
    <t>OTHER CHARGES REGISTRATION</t>
  </si>
  <si>
    <t xml:space="preserve">SALARIES - ELECTED           </t>
  </si>
  <si>
    <t>OFFICE RENTAL DIGHTON</t>
  </si>
  <si>
    <t>TOWN FUEL</t>
  </si>
  <si>
    <t>MUNIC.  LEASES</t>
  </si>
  <si>
    <t>COMCAST PHONES</t>
  </si>
  <si>
    <t>VIRTUAL TOWN HALL</t>
  </si>
  <si>
    <t>EMAIL SERVICE</t>
  </si>
  <si>
    <t>HARPERS PAYROLL</t>
  </si>
  <si>
    <t>PEST CONTROL</t>
  </si>
  <si>
    <t>TELEPHONE</t>
  </si>
  <si>
    <t xml:space="preserve">R. &amp; M.- VEHICLE            </t>
  </si>
  <si>
    <t>FIELD SUPPLIES</t>
  </si>
  <si>
    <t>VETERANS GRAVES</t>
  </si>
  <si>
    <t>CARE VETS GRAVES</t>
  </si>
  <si>
    <t>MEMORIAL DAY</t>
  </si>
  <si>
    <t xml:space="preserve">SALARIES-MILEAGE         </t>
  </si>
  <si>
    <t xml:space="preserve">POSTAGE                    </t>
  </si>
  <si>
    <t xml:space="preserve">TRAVEL  -BUS TRIPS                </t>
  </si>
  <si>
    <t>NEWSLETTER</t>
  </si>
  <si>
    <t>WELLNESS PROGRAM</t>
  </si>
  <si>
    <t>TRAINING EDUCATION</t>
  </si>
  <si>
    <t>OFFICE EQUIP</t>
  </si>
  <si>
    <t xml:space="preserve">OTHER </t>
  </si>
  <si>
    <t>SALARIES - PART TIME</t>
  </si>
  <si>
    <t>SICK LEAVE BONUS</t>
  </si>
  <si>
    <t>DEPT. ISSUED FIREARMS</t>
  </si>
  <si>
    <t>VESTS</t>
  </si>
  <si>
    <t>DAMAGED PER. PROP.</t>
  </si>
  <si>
    <t>CELL PHONE</t>
  </si>
  <si>
    <t>MPA LEGAL DEFENSE</t>
  </si>
  <si>
    <t>UNIFORM AMMO</t>
  </si>
  <si>
    <t xml:space="preserve">SALARIES- HOLIDAY PAY         </t>
  </si>
  <si>
    <t>DRY CLEANING</t>
  </si>
  <si>
    <t>SALARIES-ADD. PERSONAL DAYS</t>
  </si>
  <si>
    <t>TRAINING SUPPLIES</t>
  </si>
  <si>
    <t>LOCK-UP</t>
  </si>
  <si>
    <t xml:space="preserve">TRAVEL   SEMINARS                     </t>
  </si>
  <si>
    <t xml:space="preserve"> ADDITIONAL EQUIPMENT                     </t>
  </si>
  <si>
    <t>HARBORMASTER</t>
  </si>
  <si>
    <t>SEMLEC</t>
  </si>
  <si>
    <t>CRITICAL INCIDENT TRAINING</t>
  </si>
  <si>
    <t>CONTRACTED SERVICES</t>
  </si>
  <si>
    <t>CLEANING SUPPLIES &amp; SERVICE</t>
  </si>
  <si>
    <t>COMMUNICATIONS DEPT.</t>
  </si>
  <si>
    <t xml:space="preserve">SALARIES-RESERVES  </t>
  </si>
  <si>
    <t>TMLP</t>
  </si>
  <si>
    <t>R. &amp; M.- GENERATOR</t>
  </si>
  <si>
    <t xml:space="preserve">SEPTIC </t>
  </si>
  <si>
    <t>WATER INSPECTION</t>
  </si>
  <si>
    <t>PROPANE</t>
  </si>
  <si>
    <t>CLEANING &amp; MAINT.</t>
  </si>
  <si>
    <t xml:space="preserve">R. &amp; M.- FIRE EXTINUISHERS               </t>
  </si>
  <si>
    <t>INTERNET</t>
  </si>
  <si>
    <t>PHONE BACK-UP</t>
  </si>
  <si>
    <t xml:space="preserve">R. &amp; M. EMERGENCY REPAIRS             </t>
  </si>
  <si>
    <t xml:space="preserve">R. &amp; M.- GARAGE DOORS           </t>
  </si>
  <si>
    <t xml:space="preserve">BOILER INSPECTION       </t>
  </si>
  <si>
    <t>SNOW &amp; ICE</t>
  </si>
  <si>
    <t>HEATING SYSTEM</t>
  </si>
  <si>
    <t>PUBLIC SAFETY BUILDING</t>
  </si>
  <si>
    <t>IMC-CJS SOFTWARE</t>
  </si>
  <si>
    <t>CON-ED</t>
  </si>
  <si>
    <t>OUTSIDE SERVICES</t>
  </si>
  <si>
    <t>CELL PHONES</t>
  </si>
  <si>
    <t>LIABILITY INS.</t>
  </si>
  <si>
    <t xml:space="preserve">SAFETY </t>
  </si>
  <si>
    <t xml:space="preserve">R. &amp; M.- EQUIPMENT </t>
  </si>
  <si>
    <t xml:space="preserve"> INSPECTIONS        </t>
  </si>
  <si>
    <t xml:space="preserve"> RADIO LICENSING          </t>
  </si>
  <si>
    <t>MAINTENANCE AGREEMENTS</t>
  </si>
  <si>
    <t>R. &amp; M.- EQUIPMENT/RADIOS</t>
  </si>
  <si>
    <t xml:space="preserve">R. &amp; M.  EQUIPMENT      </t>
  </si>
  <si>
    <t>High School Stabilization</t>
  </si>
  <si>
    <t>School Choice</t>
  </si>
  <si>
    <t>Meals Tax</t>
  </si>
  <si>
    <t>Pen. &amp; Int.</t>
  </si>
  <si>
    <t>Other Charges</t>
  </si>
  <si>
    <t>License &amp; Permits</t>
  </si>
  <si>
    <t>Fines</t>
  </si>
  <si>
    <t>Invest Income</t>
  </si>
  <si>
    <t>Fees</t>
  </si>
  <si>
    <t>S/B/HighScool Assesment</t>
  </si>
  <si>
    <t>S/B HIGH SCHOOL ASSESS.</t>
  </si>
  <si>
    <t>BRISTOL AGGY.</t>
  </si>
  <si>
    <t>SCHOOL COM. SALARY</t>
  </si>
  <si>
    <t>STORMWATER</t>
  </si>
  <si>
    <t>SRPEDD</t>
  </si>
  <si>
    <t>TAX TITLE</t>
  </si>
  <si>
    <t>BACKCHARGES</t>
  </si>
  <si>
    <t>Regional Aggy.</t>
  </si>
  <si>
    <t>S/B/ High School Assessment</t>
  </si>
  <si>
    <t>Bristol Aggy. Assesment</t>
  </si>
  <si>
    <t>Town Fuel</t>
  </si>
  <si>
    <t>Salaries Elected</t>
  </si>
  <si>
    <t>Salary Elected</t>
  </si>
  <si>
    <t>BOOK BINDING</t>
  </si>
  <si>
    <t>POSTAGE</t>
  </si>
  <si>
    <t>CENSUS</t>
  </si>
  <si>
    <t>LIST/SERVE</t>
  </si>
  <si>
    <t>TRASH DISPOSAL</t>
  </si>
  <si>
    <t>R. &amp; M.- VEHICLES</t>
  </si>
  <si>
    <t>Exempt Elderly</t>
  </si>
  <si>
    <t>State Owned Land</t>
  </si>
  <si>
    <t>Public Library</t>
  </si>
  <si>
    <t>SALARIES -CALL E.M.T.</t>
  </si>
  <si>
    <t>Local Schools-Non Net School Spending</t>
  </si>
  <si>
    <t>TOWN OFFICE BLDG</t>
  </si>
  <si>
    <t>TOWN OFFICE BUILDING</t>
  </si>
  <si>
    <t xml:space="preserve">Rentals Solar </t>
  </si>
  <si>
    <t xml:space="preserve">SBRSD HIGH SCHOOL </t>
  </si>
  <si>
    <t xml:space="preserve">B/P/ REGIONAL SCHOOL               </t>
  </si>
  <si>
    <t>B.P. Regional High School</t>
  </si>
  <si>
    <t>K-8 HEALTH INSURANCE</t>
  </si>
  <si>
    <t>K-8 WORKERS COMP.</t>
  </si>
  <si>
    <t>K-8 LIABILITY INSURANCE</t>
  </si>
  <si>
    <t>HIGHWAY</t>
  </si>
  <si>
    <t>ACCOUNT NAME</t>
  </si>
  <si>
    <t>ATFC Dues</t>
  </si>
  <si>
    <t>Office Supplies</t>
  </si>
  <si>
    <t>Municipal</t>
  </si>
  <si>
    <t>Public Safety</t>
  </si>
  <si>
    <t>Pensions</t>
  </si>
  <si>
    <t>Insurance</t>
  </si>
  <si>
    <t>Schools</t>
  </si>
  <si>
    <t>Public Works</t>
  </si>
  <si>
    <t>Human Services</t>
  </si>
  <si>
    <t>Debt - Schools</t>
  </si>
  <si>
    <t>Debt - Municipal</t>
  </si>
  <si>
    <t>General Government</t>
  </si>
  <si>
    <t>School</t>
  </si>
  <si>
    <t>***</t>
  </si>
  <si>
    <t>****</t>
  </si>
  <si>
    <t>Revenue Sources</t>
  </si>
  <si>
    <t>Taxation</t>
  </si>
  <si>
    <t>State Aid</t>
  </si>
  <si>
    <t>Local Receipts</t>
  </si>
  <si>
    <t>*** Stabilization removed from Taxation</t>
  </si>
  <si>
    <t>**** 1st year of SBRSD</t>
  </si>
  <si>
    <t>State Assessments</t>
  </si>
  <si>
    <t xml:space="preserve">SALARIES-DIRECTOR  </t>
  </si>
  <si>
    <t>Town Meeting</t>
  </si>
  <si>
    <t>SALARIES-ADD. TEMP. HOURS</t>
  </si>
  <si>
    <t xml:space="preserve">R. &amp; M.-ROAD WAYS &amp; GROUNDS  </t>
  </si>
  <si>
    <t xml:space="preserve">REVENUE </t>
  </si>
  <si>
    <t xml:space="preserve">SALARIES-HOLIDAY             </t>
  </si>
  <si>
    <t>E.M.A. DEPARTMENT</t>
  </si>
  <si>
    <t>MAPPING</t>
  </si>
  <si>
    <t xml:space="preserve">P.W. SUPPLIES -   </t>
  </si>
  <si>
    <t xml:space="preserve">SALARIES-H.R. ADMIN./ASST. TREA.        </t>
  </si>
  <si>
    <t>K-8 Transportation and Insurances</t>
  </si>
  <si>
    <t>AED &amp; NARCAN</t>
  </si>
  <si>
    <t>NEW</t>
  </si>
  <si>
    <t>PART-TIME SICK &amp; OVERTIME</t>
  </si>
  <si>
    <t>SALARIES - TOWN ASSESSOR</t>
  </si>
  <si>
    <t>BOX ALARM MAINTENANCE</t>
  </si>
  <si>
    <t>ELECTRICITY</t>
  </si>
  <si>
    <t>S/B/HighSchool Taxation</t>
  </si>
  <si>
    <t>ATFC Annual Meeting</t>
  </si>
  <si>
    <t>MMA Annual Conference</t>
  </si>
  <si>
    <t>SBSRD Taxation</t>
  </si>
  <si>
    <t>SALARIES - STIPEND</t>
  </si>
  <si>
    <t>UNFUNDED LIABILITY</t>
  </si>
  <si>
    <t>Unfunded Liability</t>
  </si>
  <si>
    <t>FY 2022</t>
  </si>
  <si>
    <t>SCHOOL SPENDING</t>
  </si>
  <si>
    <t>SBRHS SPEDD OUTSOURCED/RESIDENTIAL</t>
  </si>
  <si>
    <t>$ CHANGE</t>
  </si>
  <si>
    <t>IN-LINE OF DUTY INJURY FUND</t>
  </si>
  <si>
    <t>TURNOUT GEAR</t>
  </si>
  <si>
    <t>POLICE REFORM BILL RES</t>
  </si>
  <si>
    <t xml:space="preserve">POLICE REFORM BILL FTE    </t>
  </si>
  <si>
    <t>In-LINE OF DUTY INJURY FUND</t>
  </si>
  <si>
    <t>K-8 OUT OF DISTRICT SPECIAL EDUCATION</t>
  </si>
  <si>
    <t>K-8 Out of District Special Education</t>
  </si>
  <si>
    <t>Charter Tuition Reimbursement</t>
  </si>
  <si>
    <t>Certification Bonues</t>
  </si>
  <si>
    <t>FY 2023</t>
  </si>
  <si>
    <t>Education</t>
  </si>
  <si>
    <t>Digital Storage</t>
  </si>
  <si>
    <t xml:space="preserve">SALARIES - PART TIME    </t>
  </si>
  <si>
    <t>School Choice Sending/Receiving</t>
  </si>
  <si>
    <t>Charter School Sending</t>
  </si>
  <si>
    <t xml:space="preserve">CHIEF BUYOUT </t>
  </si>
  <si>
    <t>Revenue Growth</t>
  </si>
  <si>
    <t>Town Administrator Search</t>
  </si>
  <si>
    <t>OTHER MISC (Police Chief Search)</t>
  </si>
  <si>
    <t>FY24</t>
  </si>
  <si>
    <t>Budget</t>
  </si>
  <si>
    <t>MMA Expense</t>
  </si>
  <si>
    <t>Postage</t>
  </si>
  <si>
    <t>Seminar/Conf Exp</t>
  </si>
  <si>
    <t>FY 2024 Revenue less Free Cash</t>
  </si>
  <si>
    <t>Revenue Growth as percentage</t>
  </si>
  <si>
    <t>FY 2024 Expenses and Backcharges</t>
  </si>
  <si>
    <t>Cost growth</t>
  </si>
  <si>
    <t>Cost growth as percentage</t>
  </si>
  <si>
    <t>FY 2024</t>
  </si>
  <si>
    <t>NearMap</t>
  </si>
  <si>
    <t>EXPENSES - UNION CONTRACT</t>
  </si>
  <si>
    <t>Additional Holiday</t>
  </si>
  <si>
    <t>EMD Training</t>
  </si>
  <si>
    <t>Salaries Accreditation</t>
  </si>
  <si>
    <t>Salaries Add Holiday</t>
  </si>
  <si>
    <t>Shared Resources</t>
  </si>
  <si>
    <t>Feasibility Study</t>
  </si>
  <si>
    <t>Salaries - Admin Assistant</t>
  </si>
  <si>
    <t>ADDITIONAL EQUIPMENT/ Regulation Manuals</t>
  </si>
  <si>
    <t>Multiple Use of Equipment</t>
  </si>
  <si>
    <t>Operating Free Cash</t>
  </si>
  <si>
    <t>SALARIES - ASST. TOWN ACCOUNTANT</t>
  </si>
  <si>
    <t>ACCREDITATION SOFTWARE</t>
  </si>
  <si>
    <t>Bristol Plymouth High School</t>
  </si>
  <si>
    <t>Station Renovation and Repair</t>
  </si>
  <si>
    <t>Self Contained Breathing Apparatus</t>
  </si>
  <si>
    <t xml:space="preserve">ADDITIONAL EQUIPMENT/PHONE         </t>
  </si>
  <si>
    <t>State Aid Chap. 70 (SWM's estimate)</t>
  </si>
  <si>
    <t>=</t>
  </si>
  <si>
    <t>FY25</t>
  </si>
  <si>
    <t>FY 2025</t>
  </si>
  <si>
    <t>FY 2025 Expenses and Backcharges</t>
  </si>
  <si>
    <t>FY 2025 Revenue less Free Cash</t>
  </si>
  <si>
    <t>Supporting Notes</t>
  </si>
  <si>
    <r>
      <t>APPENDIX A</t>
    </r>
    <r>
      <rPr>
        <b/>
        <sz val="16"/>
        <rFont val="Arial MT"/>
      </rPr>
      <t>:  FY 2025 OPERATING BUDGET (BY LINE ITEM)</t>
    </r>
  </si>
  <si>
    <t>FY 2024 Levy</t>
  </si>
  <si>
    <t>Fiscal Year 2025 Budget</t>
  </si>
  <si>
    <t>FY2024 Amended New Growth</t>
  </si>
  <si>
    <t>SBRHS Stabilization</t>
  </si>
  <si>
    <t>EMS Receipts</t>
  </si>
  <si>
    <t>Non Recurring</t>
  </si>
  <si>
    <t>Postage Meter</t>
  </si>
  <si>
    <t>570-</t>
  </si>
  <si>
    <t>SALARIES- NEW HIRE TRAINING/ Cont. Ed</t>
  </si>
  <si>
    <t>Salaries- Bridge, Swat, Search and Rescue</t>
  </si>
  <si>
    <t>ACCREDITATION DUES</t>
  </si>
  <si>
    <t>Salaries - Mandate Pay</t>
  </si>
  <si>
    <t>Salaries- Stipend</t>
  </si>
  <si>
    <t>General Stabilization Fund</t>
  </si>
  <si>
    <t>FY 2025 Budget Distribution</t>
  </si>
  <si>
    <t>100 General Government</t>
  </si>
  <si>
    <t>200 Public Safety</t>
  </si>
  <si>
    <t>300 Education</t>
  </si>
  <si>
    <t>400 Public Works</t>
  </si>
  <si>
    <t>500 Human Services</t>
  </si>
  <si>
    <t>600 Culture and Recreation</t>
  </si>
  <si>
    <t>700 Debt Service</t>
  </si>
  <si>
    <t>900 Unclassified/Miscellaneous</t>
  </si>
  <si>
    <t>Salaries- Inspector</t>
  </si>
  <si>
    <t>Stormwater Reporting</t>
  </si>
  <si>
    <t>Highway Smoke Alarm</t>
  </si>
  <si>
    <t>Fire Alarm Station #2</t>
  </si>
  <si>
    <t>Fire Alarm Receiver</t>
  </si>
  <si>
    <t>Appropriations</t>
  </si>
  <si>
    <t>State Aid Local  (SWM's estimate)</t>
  </si>
  <si>
    <t>Federal ARPA</t>
  </si>
  <si>
    <t xml:space="preserve">  FY 2025 OPERATING BUDGET (BY DEPARTMENT)</t>
  </si>
  <si>
    <t>BOS</t>
  </si>
  <si>
    <t>FINAL</t>
  </si>
  <si>
    <t>FY2025</t>
  </si>
  <si>
    <t>Reserve Fund</t>
  </si>
  <si>
    <t>Moderator</t>
  </si>
  <si>
    <t>Selectmen</t>
  </si>
  <si>
    <t>Finance Committee</t>
  </si>
  <si>
    <t>Town Accountant</t>
  </si>
  <si>
    <t>Board of Assessors</t>
  </si>
  <si>
    <t>Town Treasurer</t>
  </si>
  <si>
    <t>Town Collector</t>
  </si>
  <si>
    <t>Town Counsel</t>
  </si>
  <si>
    <t>Data Processing</t>
  </si>
  <si>
    <t>Town Clerk</t>
  </si>
  <si>
    <t>Elections</t>
  </si>
  <si>
    <t>Planning Board</t>
  </si>
  <si>
    <t>Town Buildings</t>
  </si>
  <si>
    <t>Public Safety Building</t>
  </si>
  <si>
    <t>Police Department</t>
  </si>
  <si>
    <t>Fire Department</t>
  </si>
  <si>
    <t>Emergency Medical Services</t>
  </si>
  <si>
    <t>Building Department</t>
  </si>
  <si>
    <t>Communications</t>
  </si>
  <si>
    <t>Retirement of Debt</t>
  </si>
  <si>
    <t>Interest</t>
  </si>
  <si>
    <t>School Department</t>
  </si>
  <si>
    <t>Worker's Compensation</t>
  </si>
  <si>
    <t>Liability Insurance</t>
  </si>
  <si>
    <t>Health Insurance</t>
  </si>
  <si>
    <t>Miscellaneous</t>
  </si>
  <si>
    <t>Council on Aging</t>
  </si>
  <si>
    <t xml:space="preserve">Highway Department </t>
  </si>
  <si>
    <t>Street Lights</t>
  </si>
  <si>
    <t>Cemetery</t>
  </si>
  <si>
    <t>Board of Health</t>
  </si>
  <si>
    <t>Historical Commission</t>
  </si>
  <si>
    <t>Celebrations Committee</t>
  </si>
  <si>
    <t>Veterans Graves</t>
  </si>
  <si>
    <t>Stormwater Testing and Reporting</t>
  </si>
  <si>
    <t>Forestry</t>
  </si>
  <si>
    <t>Animal Control</t>
  </si>
  <si>
    <t>From taxation</t>
  </si>
  <si>
    <t>From free cash</t>
  </si>
  <si>
    <r>
      <t>Snow and Ice (</t>
    </r>
    <r>
      <rPr>
        <b/>
        <sz val="11"/>
        <color theme="1"/>
        <rFont val="Calibri"/>
        <family val="2"/>
        <scheme val="minor"/>
      </rPr>
      <t>Article #3</t>
    </r>
    <r>
      <rPr>
        <sz val="11"/>
        <color theme="1"/>
        <rFont val="Calibri"/>
        <family val="2"/>
        <scheme val="minor"/>
      </rPr>
      <t>)</t>
    </r>
  </si>
  <si>
    <r>
      <t>Past Due Bills (</t>
    </r>
    <r>
      <rPr>
        <b/>
        <sz val="11"/>
        <color theme="1"/>
        <rFont val="Calibri"/>
        <family val="2"/>
        <scheme val="minor"/>
      </rPr>
      <t>Article #3</t>
    </r>
    <r>
      <rPr>
        <sz val="11"/>
        <color theme="1"/>
        <rFont val="Calibri"/>
        <family val="2"/>
        <scheme val="minor"/>
      </rPr>
      <t>)</t>
    </r>
  </si>
  <si>
    <r>
      <t xml:space="preserve">Library Application </t>
    </r>
    <r>
      <rPr>
        <b/>
        <sz val="11"/>
        <color theme="1"/>
        <rFont val="Calibri"/>
        <family val="2"/>
        <scheme val="minor"/>
      </rPr>
      <t>(Article # 14)</t>
    </r>
  </si>
  <si>
    <t>Subtotal (Article #4)</t>
  </si>
  <si>
    <t>total budget</t>
  </si>
  <si>
    <t>from HS Stabilization</t>
  </si>
  <si>
    <t>Unemployment Comp.</t>
  </si>
  <si>
    <t>Berkley School* (March 18th Revision #4)</t>
  </si>
  <si>
    <t>subtotal (Article #6)</t>
  </si>
  <si>
    <t>subtotal (Article #7)</t>
  </si>
  <si>
    <t>From taxation (Article #5)</t>
  </si>
  <si>
    <t>FY2025 Free Cash</t>
  </si>
  <si>
    <t>FY2025 Town ARPA</t>
  </si>
  <si>
    <t>Balance</t>
  </si>
  <si>
    <r>
      <t xml:space="preserve">Operating Free Cash </t>
    </r>
    <r>
      <rPr>
        <b/>
        <sz val="11"/>
        <color theme="1"/>
        <rFont val="Calibri"/>
        <family val="2"/>
        <scheme val="minor"/>
      </rPr>
      <t>(Article #6)</t>
    </r>
  </si>
  <si>
    <t>Totaling:</t>
  </si>
  <si>
    <t>from Ambulance User Fees:</t>
  </si>
  <si>
    <t>from taxation:</t>
  </si>
  <si>
    <t>ARTICLE #4</t>
  </si>
  <si>
    <t>Article #5</t>
  </si>
  <si>
    <t>Article #6</t>
  </si>
  <si>
    <t>from free cash:</t>
  </si>
  <si>
    <t>Article #6 and #7</t>
  </si>
  <si>
    <t>Article #7</t>
  </si>
  <si>
    <t>from HS Stabilization: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</si>
</sst>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yyyy"/>
    <numFmt numFmtId="166" formatCode="&quot;$&quot;#,##0.00"/>
    <numFmt numFmtId="167" formatCode="_(&quot;$&quot;* #,##0_);_(&quot;$&quot;* \(#,##0\);_(&quot;$&quot;* &quot;-&quot;??_);_(@_)"/>
    <numFmt numFmtId="168" formatCode="0.0000%"/>
    <numFmt numFmtId="169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name val="Arial MT"/>
    </font>
    <font>
      <b/>
      <sz val="16"/>
      <name val="Arial MT"/>
    </font>
    <font>
      <sz val="16"/>
      <name val="Arial MT"/>
    </font>
    <font>
      <b/>
      <sz val="18"/>
      <name val="Arial MT"/>
    </font>
    <font>
      <b/>
      <i/>
      <sz val="12"/>
      <name val="Arial MT"/>
    </font>
    <font>
      <b/>
      <sz val="12"/>
      <name val="Arial MT"/>
    </font>
    <font>
      <sz val="12"/>
      <name val="Arial MT"/>
    </font>
    <font>
      <b/>
      <u/>
      <sz val="12"/>
      <name val="Arial MT"/>
    </font>
    <font>
      <b/>
      <sz val="14"/>
      <name val="Arial MT"/>
    </font>
    <font>
      <sz val="14"/>
      <name val="Arial MT"/>
    </font>
    <font>
      <i/>
      <sz val="12"/>
      <name val="Arial MT"/>
    </font>
    <font>
      <sz val="9"/>
      <color theme="0"/>
      <name val="Arial MT"/>
    </font>
    <font>
      <sz val="12"/>
      <color theme="0"/>
      <name val="Arial MT"/>
    </font>
    <font>
      <b/>
      <sz val="10"/>
      <color theme="0"/>
      <name val="Arial MT"/>
    </font>
    <font>
      <b/>
      <sz val="9"/>
      <color theme="0"/>
      <name val="Arial MT"/>
    </font>
    <font>
      <b/>
      <sz val="14"/>
      <color theme="0"/>
      <name val="Arial MT"/>
    </font>
    <font>
      <sz val="10"/>
      <name val="Arial MT"/>
    </font>
    <font>
      <sz val="9"/>
      <name val="Arial MT"/>
    </font>
    <font>
      <u/>
      <sz val="12"/>
      <name val="Arial MT"/>
    </font>
    <font>
      <sz val="12"/>
      <color indexed="9"/>
      <name val="Arial MT"/>
    </font>
    <font>
      <sz val="12"/>
      <color indexed="8"/>
      <name val="Arial MT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Rounded MT Bold"/>
      <family val="2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4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16" fillId="0" borderId="0" xfId="0" applyFont="1" applyAlignment="1">
      <alignment horizontal="center"/>
    </xf>
    <xf numFmtId="164" fontId="0" fillId="0" borderId="0" xfId="0" applyNumberFormat="1"/>
    <xf numFmtId="0" fontId="20" fillId="0" borderId="0" xfId="0" applyFont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33" borderId="11" xfId="0" applyFill="1" applyBorder="1"/>
    <xf numFmtId="0" fontId="16" fillId="33" borderId="11" xfId="0" applyFont="1" applyFill="1" applyBorder="1"/>
    <xf numFmtId="164" fontId="16" fillId="33" borderId="11" xfId="0" applyNumberFormat="1" applyFont="1" applyFill="1" applyBorder="1"/>
    <xf numFmtId="0" fontId="0" fillId="0" borderId="0" xfId="0" applyAlignment="1">
      <alignment horizontal="left"/>
    </xf>
    <xf numFmtId="164" fontId="0" fillId="0" borderId="11" xfId="0" applyNumberFormat="1" applyBorder="1"/>
    <xf numFmtId="9" fontId="0" fillId="0" borderId="11" xfId="0" applyNumberFormat="1" applyBorder="1"/>
    <xf numFmtId="0" fontId="23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3" xfId="0" applyBorder="1"/>
    <xf numFmtId="37" fontId="0" fillId="0" borderId="13" xfId="0" applyNumberFormat="1" applyBorder="1"/>
    <xf numFmtId="37" fontId="0" fillId="0" borderId="13" xfId="0" applyNumberFormat="1" applyBorder="1" applyAlignment="1">
      <alignment horizontal="right"/>
    </xf>
    <xf numFmtId="0" fontId="23" fillId="0" borderId="0" xfId="0" applyFont="1" applyAlignment="1">
      <alignment horizontal="center"/>
    </xf>
    <xf numFmtId="37" fontId="0" fillId="0" borderId="0" xfId="0" applyNumberFormat="1"/>
    <xf numFmtId="0" fontId="2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7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4" fillId="0" borderId="0" xfId="0" applyFont="1"/>
    <xf numFmtId="0" fontId="25" fillId="0" borderId="0" xfId="0" applyFont="1"/>
    <xf numFmtId="0" fontId="29" fillId="0" borderId="0" xfId="0" applyFont="1"/>
    <xf numFmtId="0" fontId="30" fillId="0" borderId="0" xfId="0" applyFont="1"/>
    <xf numFmtId="42" fontId="31" fillId="0" borderId="0" xfId="0" applyNumberFormat="1" applyFont="1"/>
    <xf numFmtId="5" fontId="23" fillId="0" borderId="0" xfId="0" applyNumberFormat="1" applyFont="1"/>
    <xf numFmtId="5" fontId="30" fillId="0" borderId="0" xfId="0" applyNumberFormat="1" applyFont="1"/>
    <xf numFmtId="7" fontId="30" fillId="0" borderId="0" xfId="0" applyNumberFormat="1" applyFont="1"/>
    <xf numFmtId="5" fontId="32" fillId="0" borderId="0" xfId="0" applyNumberFormat="1" applyFont="1"/>
    <xf numFmtId="0" fontId="33" fillId="0" borderId="0" xfId="0" applyFont="1"/>
    <xf numFmtId="164" fontId="36" fillId="0" borderId="0" xfId="0" applyNumberFormat="1" applyFont="1"/>
    <xf numFmtId="164" fontId="30" fillId="0" borderId="0" xfId="0" applyNumberFormat="1" applyFont="1"/>
    <xf numFmtId="0" fontId="37" fillId="0" borderId="0" xfId="0" applyFont="1"/>
    <xf numFmtId="5" fontId="35" fillId="0" borderId="0" xfId="0" applyNumberFormat="1" applyFont="1"/>
    <xf numFmtId="0" fontId="38" fillId="0" borderId="0" xfId="0" applyFont="1"/>
    <xf numFmtId="164" fontId="35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164" fontId="35" fillId="0" borderId="0" xfId="0" applyNumberFormat="1" applyFont="1"/>
    <xf numFmtId="5" fontId="39" fillId="0" borderId="0" xfId="0" applyNumberFormat="1" applyFont="1"/>
    <xf numFmtId="5" fontId="40" fillId="0" borderId="0" xfId="0" applyNumberFormat="1" applyFont="1"/>
    <xf numFmtId="0" fontId="16" fillId="0" borderId="0" xfId="0" applyFont="1" applyAlignment="1">
      <alignment horizontal="left"/>
    </xf>
    <xf numFmtId="0" fontId="0" fillId="33" borderId="11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16" fillId="33" borderId="11" xfId="0" applyFont="1" applyFill="1" applyBorder="1" applyAlignment="1">
      <alignment horizontal="left"/>
    </xf>
    <xf numFmtId="5" fontId="25" fillId="0" borderId="0" xfId="0" applyNumberFormat="1" applyFont="1" applyAlignment="1">
      <alignment horizontal="center"/>
    </xf>
    <xf numFmtId="37" fontId="35" fillId="0" borderId="0" xfId="0" applyNumberFormat="1" applyFont="1"/>
    <xf numFmtId="0" fontId="29" fillId="0" borderId="0" xfId="0" applyFont="1" applyAlignment="1">
      <alignment horizontal="right"/>
    </xf>
    <xf numFmtId="164" fontId="29" fillId="0" borderId="0" xfId="0" applyNumberFormat="1" applyFont="1"/>
    <xf numFmtId="44" fontId="0" fillId="0" borderId="0" xfId="42" applyFont="1" applyFill="1" applyBorder="1"/>
    <xf numFmtId="44" fontId="16" fillId="0" borderId="0" xfId="0" applyNumberFormat="1" applyFont="1"/>
    <xf numFmtId="44" fontId="0" fillId="0" borderId="0" xfId="42" applyFont="1" applyFill="1"/>
    <xf numFmtId="44" fontId="0" fillId="0" borderId="0" xfId="42" applyFont="1" applyFill="1" applyProtection="1"/>
    <xf numFmtId="0" fontId="25" fillId="0" borderId="0" xfId="0" applyFont="1" applyAlignment="1">
      <alignment horizontal="center"/>
    </xf>
    <xf numFmtId="0" fontId="0" fillId="0" borderId="16" xfId="0" applyBorder="1"/>
    <xf numFmtId="9" fontId="0" fillId="33" borderId="11" xfId="0" applyNumberFormat="1" applyFill="1" applyBorder="1"/>
    <xf numFmtId="44" fontId="0" fillId="0" borderId="0" xfId="42" applyFont="1"/>
    <xf numFmtId="37" fontId="0" fillId="0" borderId="13" xfId="0" applyNumberFormat="1" applyBorder="1" applyAlignment="1">
      <alignment horizontal="left"/>
    </xf>
    <xf numFmtId="164" fontId="0" fillId="34" borderId="11" xfId="0" applyNumberFormat="1" applyFill="1" applyBorder="1"/>
    <xf numFmtId="164" fontId="41" fillId="0" borderId="0" xfId="43" applyNumberFormat="1"/>
    <xf numFmtId="0" fontId="41" fillId="0" borderId="0" xfId="43"/>
    <xf numFmtId="0" fontId="42" fillId="0" borderId="0" xfId="43" applyFont="1"/>
    <xf numFmtId="165" fontId="42" fillId="0" borderId="0" xfId="43" applyNumberFormat="1" applyFont="1"/>
    <xf numFmtId="165" fontId="41" fillId="0" borderId="0" xfId="43" applyNumberFormat="1"/>
    <xf numFmtId="5" fontId="41" fillId="0" borderId="0" xfId="43" applyNumberFormat="1"/>
    <xf numFmtId="3" fontId="0" fillId="0" borderId="0" xfId="0" applyNumberFormat="1"/>
    <xf numFmtId="3" fontId="41" fillId="0" borderId="0" xfId="43" applyNumberFormat="1"/>
    <xf numFmtId="44" fontId="34" fillId="0" borderId="0" xfId="0" applyNumberFormat="1" applyFont="1"/>
    <xf numFmtId="166" fontId="0" fillId="0" borderId="0" xfId="0" applyNumberFormat="1"/>
    <xf numFmtId="5" fontId="0" fillId="0" borderId="0" xfId="42" applyNumberFormat="1" applyFont="1" applyFill="1" applyProtection="1"/>
    <xf numFmtId="44" fontId="44" fillId="0" borderId="0" xfId="42" applyFont="1" applyFill="1" applyProtection="1"/>
    <xf numFmtId="0" fontId="45" fillId="0" borderId="11" xfId="0" applyFont="1" applyBorder="1"/>
    <xf numFmtId="0" fontId="45" fillId="0" borderId="11" xfId="0" applyFont="1" applyBorder="1" applyAlignment="1">
      <alignment horizontal="left"/>
    </xf>
    <xf numFmtId="9" fontId="0" fillId="0" borderId="12" xfId="0" applyNumberFormat="1" applyBorder="1"/>
    <xf numFmtId="164" fontId="0" fillId="33" borderId="12" xfId="0" applyNumberFormat="1" applyFill="1" applyBorder="1"/>
    <xf numFmtId="164" fontId="0" fillId="0" borderId="12" xfId="0" applyNumberFormat="1" applyBorder="1"/>
    <xf numFmtId="164" fontId="46" fillId="0" borderId="17" xfId="0" applyNumberFormat="1" applyFont="1" applyBorder="1"/>
    <xf numFmtId="9" fontId="46" fillId="0" borderId="18" xfId="0" applyNumberFormat="1" applyFont="1" applyBorder="1"/>
    <xf numFmtId="0" fontId="46" fillId="0" borderId="0" xfId="0" applyFont="1"/>
    <xf numFmtId="164" fontId="46" fillId="0" borderId="0" xfId="0" applyNumberFormat="1" applyFont="1"/>
    <xf numFmtId="0" fontId="16" fillId="0" borderId="11" xfId="0" applyFont="1" applyBorder="1"/>
    <xf numFmtId="167" fontId="0" fillId="0" borderId="12" xfId="42" applyNumberFormat="1" applyFont="1" applyBorder="1"/>
    <xf numFmtId="167" fontId="0" fillId="33" borderId="12" xfId="42" applyNumberFormat="1" applyFont="1" applyFill="1" applyBorder="1"/>
    <xf numFmtId="167" fontId="0" fillId="0" borderId="12" xfId="42" applyNumberFormat="1" applyFont="1" applyFill="1" applyBorder="1"/>
    <xf numFmtId="0" fontId="0" fillId="34" borderId="11" xfId="0" applyFill="1" applyBorder="1"/>
    <xf numFmtId="0" fontId="0" fillId="35" borderId="11" xfId="0" applyFill="1" applyBorder="1"/>
    <xf numFmtId="0" fontId="0" fillId="36" borderId="0" xfId="0" applyFill="1"/>
    <xf numFmtId="0" fontId="0" fillId="36" borderId="11" xfId="0" applyFill="1" applyBorder="1"/>
    <xf numFmtId="0" fontId="16" fillId="33" borderId="0" xfId="0" applyFont="1" applyFill="1"/>
    <xf numFmtId="0" fontId="40" fillId="0" borderId="0" xfId="0" applyFont="1"/>
    <xf numFmtId="0" fontId="40" fillId="0" borderId="0" xfId="0" applyFont="1" applyAlignment="1">
      <alignment horizontal="center"/>
    </xf>
    <xf numFmtId="164" fontId="40" fillId="0" borderId="0" xfId="0" applyNumberFormat="1" applyFont="1"/>
    <xf numFmtId="0" fontId="46" fillId="33" borderId="20" xfId="0" applyFont="1" applyFill="1" applyBorder="1"/>
    <xf numFmtId="0" fontId="46" fillId="0" borderId="0" xfId="0" applyFont="1" applyAlignment="1">
      <alignment horizontal="center"/>
    </xf>
    <xf numFmtId="0" fontId="46" fillId="0" borderId="10" xfId="0" applyFont="1" applyBorder="1"/>
    <xf numFmtId="164" fontId="16" fillId="0" borderId="0" xfId="0" applyNumberFormat="1" applyFont="1" applyAlignment="1">
      <alignment horizontal="center"/>
    </xf>
    <xf numFmtId="167" fontId="0" fillId="0" borderId="0" xfId="42" applyNumberFormat="1" applyFont="1" applyFill="1"/>
    <xf numFmtId="0" fontId="40" fillId="0" borderId="10" xfId="0" applyFont="1" applyBorder="1"/>
    <xf numFmtId="0" fontId="40" fillId="33" borderId="20" xfId="0" applyFont="1" applyFill="1" applyBorder="1"/>
    <xf numFmtId="9" fontId="40" fillId="0" borderId="18" xfId="0" applyNumberFormat="1" applyFont="1" applyBorder="1"/>
    <xf numFmtId="167" fontId="45" fillId="0" borderId="0" xfId="42" applyNumberFormat="1" applyFont="1" applyFill="1"/>
    <xf numFmtId="167" fontId="16" fillId="0" borderId="0" xfId="42" applyNumberFormat="1" applyFont="1" applyFill="1"/>
    <xf numFmtId="0" fontId="0" fillId="0" borderId="0" xfId="0" applyAlignment="1">
      <alignment horizontal="right"/>
    </xf>
    <xf numFmtId="10" fontId="0" fillId="0" borderId="12" xfId="0" applyNumberFormat="1" applyBorder="1"/>
    <xf numFmtId="10" fontId="0" fillId="33" borderId="12" xfId="0" applyNumberFormat="1" applyFill="1" applyBorder="1"/>
    <xf numFmtId="167" fontId="0" fillId="34" borderId="12" xfId="42" applyNumberFormat="1" applyFont="1" applyFill="1" applyBorder="1"/>
    <xf numFmtId="167" fontId="0" fillId="37" borderId="12" xfId="42" applyNumberFormat="1" applyFont="1" applyFill="1" applyBorder="1"/>
    <xf numFmtId="167" fontId="1" fillId="0" borderId="12" xfId="42" applyNumberFormat="1" applyFont="1" applyFill="1" applyBorder="1"/>
    <xf numFmtId="167" fontId="1" fillId="34" borderId="12" xfId="42" applyNumberFormat="1" applyFont="1" applyFill="1" applyBorder="1"/>
    <xf numFmtId="7" fontId="0" fillId="0" borderId="0" xfId="0" applyNumberFormat="1" applyAlignment="1">
      <alignment horizontal="centerContinuous"/>
    </xf>
    <xf numFmtId="164" fontId="0" fillId="0" borderId="21" xfId="42" applyNumberFormat="1" applyFont="1" applyBorder="1"/>
    <xf numFmtId="164" fontId="0" fillId="0" borderId="22" xfId="42" applyNumberFormat="1" applyFont="1" applyBorder="1"/>
    <xf numFmtId="164" fontId="0" fillId="0" borderId="22" xfId="42" applyNumberFormat="1" applyFont="1" applyFill="1" applyBorder="1"/>
    <xf numFmtId="167" fontId="44" fillId="0" borderId="0" xfId="42" applyNumberFormat="1" applyFont="1" applyFill="1"/>
    <xf numFmtId="167" fontId="43" fillId="0" borderId="0" xfId="42" applyNumberFormat="1" applyFont="1" applyFill="1"/>
    <xf numFmtId="167" fontId="0" fillId="0" borderId="0" xfId="0" applyNumberFormat="1"/>
    <xf numFmtId="167" fontId="39" fillId="0" borderId="0" xfId="0" applyNumberFormat="1" applyFont="1"/>
    <xf numFmtId="164" fontId="0" fillId="0" borderId="23" xfId="42" applyNumberFormat="1" applyFont="1" applyBorder="1"/>
    <xf numFmtId="0" fontId="24" fillId="0" borderId="0" xfId="0" applyFont="1" applyAlignment="1">
      <alignment horizontal="center"/>
    </xf>
    <xf numFmtId="167" fontId="0" fillId="0" borderId="0" xfId="42" applyNumberFormat="1" applyFont="1" applyBorder="1"/>
    <xf numFmtId="167" fontId="39" fillId="34" borderId="0" xfId="0" applyNumberFormat="1" applyFont="1" applyFill="1"/>
    <xf numFmtId="168" fontId="0" fillId="0" borderId="0" xfId="44" applyNumberFormat="1" applyFont="1" applyAlignment="1">
      <alignment horizontal="left" indent="3"/>
    </xf>
    <xf numFmtId="167" fontId="5" fillId="34" borderId="0" xfId="0" applyNumberFormat="1" applyFont="1" applyFill="1" applyAlignment="1">
      <alignment horizontal="right"/>
    </xf>
    <xf numFmtId="164" fontId="0" fillId="0" borderId="17" xfId="0" applyNumberFormat="1" applyBorder="1"/>
    <xf numFmtId="167" fontId="16" fillId="34" borderId="12" xfId="42" applyNumberFormat="1" applyFont="1" applyFill="1" applyBorder="1"/>
    <xf numFmtId="164" fontId="0" fillId="34" borderId="17" xfId="0" applyNumberFormat="1" applyFill="1" applyBorder="1"/>
    <xf numFmtId="167" fontId="0" fillId="0" borderId="11" xfId="0" applyNumberFormat="1" applyBorder="1"/>
    <xf numFmtId="0" fontId="0" fillId="34" borderId="11" xfId="0" applyFill="1" applyBorder="1" applyAlignment="1">
      <alignment horizontal="left"/>
    </xf>
    <xf numFmtId="167" fontId="0" fillId="34" borderId="11" xfId="42" applyNumberFormat="1" applyFont="1" applyFill="1" applyBorder="1"/>
    <xf numFmtId="167" fontId="39" fillId="34" borderId="12" xfId="42" applyNumberFormat="1" applyFont="1" applyFill="1" applyBorder="1"/>
    <xf numFmtId="167" fontId="0" fillId="36" borderId="12" xfId="42" applyNumberFormat="1" applyFont="1" applyFill="1" applyBorder="1"/>
    <xf numFmtId="167" fontId="0" fillId="34" borderId="0" xfId="42" applyNumberFormat="1" applyFont="1" applyFill="1" applyBorder="1"/>
    <xf numFmtId="167" fontId="0" fillId="34" borderId="0" xfId="0" applyNumberFormat="1" applyFill="1"/>
    <xf numFmtId="167" fontId="47" fillId="34" borderId="14" xfId="0" applyNumberFormat="1" applyFont="1" applyFill="1" applyBorder="1"/>
    <xf numFmtId="5" fontId="48" fillId="0" borderId="0" xfId="0" applyNumberFormat="1" applyFont="1"/>
    <xf numFmtId="0" fontId="48" fillId="0" borderId="0" xfId="0" applyFont="1"/>
    <xf numFmtId="0" fontId="49" fillId="0" borderId="0" xfId="0" applyFont="1" applyAlignment="1">
      <alignment horizontal="left"/>
    </xf>
    <xf numFmtId="167" fontId="1" fillId="0" borderId="0" xfId="42" applyNumberFormat="1" applyFont="1" applyFill="1" applyProtection="1"/>
    <xf numFmtId="167" fontId="1" fillId="0" borderId="0" xfId="42" applyNumberFormat="1" applyFont="1" applyFill="1"/>
    <xf numFmtId="167" fontId="1" fillId="34" borderId="0" xfId="42" applyNumberFormat="1" applyFont="1" applyFill="1"/>
    <xf numFmtId="167" fontId="1" fillId="0" borderId="0" xfId="0" applyNumberFormat="1" applyFont="1"/>
    <xf numFmtId="167" fontId="1" fillId="0" borderId="14" xfId="42" applyNumberFormat="1" applyFont="1" applyFill="1" applyBorder="1" applyProtection="1"/>
    <xf numFmtId="167" fontId="0" fillId="34" borderId="11" xfId="0" applyNumberFormat="1" applyFill="1" applyBorder="1"/>
    <xf numFmtId="167" fontId="16" fillId="0" borderId="12" xfId="42" applyNumberFormat="1" applyFont="1" applyFill="1" applyBorder="1"/>
    <xf numFmtId="167" fontId="40" fillId="0" borderId="17" xfId="0" applyNumberFormat="1" applyFont="1" applyBorder="1"/>
    <xf numFmtId="167" fontId="46" fillId="34" borderId="17" xfId="0" applyNumberFormat="1" applyFont="1" applyFill="1" applyBorder="1"/>
    <xf numFmtId="167" fontId="46" fillId="0" borderId="17" xfId="0" applyNumberFormat="1" applyFont="1" applyBorder="1"/>
    <xf numFmtId="167" fontId="40" fillId="33" borderId="17" xfId="0" applyNumberFormat="1" applyFont="1" applyFill="1" applyBorder="1"/>
    <xf numFmtId="167" fontId="46" fillId="33" borderId="17" xfId="0" applyNumberFormat="1" applyFont="1" applyFill="1" applyBorder="1"/>
    <xf numFmtId="167" fontId="40" fillId="33" borderId="19" xfId="0" applyNumberFormat="1" applyFont="1" applyFill="1" applyBorder="1"/>
    <xf numFmtId="167" fontId="46" fillId="33" borderId="19" xfId="0" applyNumberFormat="1" applyFont="1" applyFill="1" applyBorder="1"/>
    <xf numFmtId="167" fontId="40" fillId="34" borderId="17" xfId="0" applyNumberFormat="1" applyFont="1" applyFill="1" applyBorder="1"/>
    <xf numFmtId="167" fontId="40" fillId="0" borderId="19" xfId="0" applyNumberFormat="1" applyFont="1" applyBorder="1"/>
    <xf numFmtId="167" fontId="46" fillId="0" borderId="19" xfId="0" applyNumberFormat="1" applyFont="1" applyBorder="1"/>
    <xf numFmtId="167" fontId="46" fillId="34" borderId="19" xfId="0" applyNumberFormat="1" applyFont="1" applyFill="1" applyBorder="1"/>
    <xf numFmtId="167" fontId="46" fillId="34" borderId="11" xfId="0" applyNumberFormat="1" applyFont="1" applyFill="1" applyBorder="1"/>
    <xf numFmtId="167" fontId="16" fillId="34" borderId="17" xfId="0" applyNumberFormat="1" applyFont="1" applyFill="1" applyBorder="1"/>
    <xf numFmtId="167" fontId="16" fillId="0" borderId="17" xfId="0" applyNumberFormat="1" applyFont="1" applyBorder="1"/>
    <xf numFmtId="167" fontId="40" fillId="33" borderId="11" xfId="0" applyNumberFormat="1" applyFont="1" applyFill="1" applyBorder="1"/>
    <xf numFmtId="167" fontId="16" fillId="33" borderId="11" xfId="0" applyNumberFormat="1" applyFont="1" applyFill="1" applyBorder="1"/>
    <xf numFmtId="0" fontId="45" fillId="34" borderId="11" xfId="0" applyFont="1" applyFill="1" applyBorder="1"/>
    <xf numFmtId="0" fontId="0" fillId="34" borderId="11" xfId="0" applyFill="1" applyBorder="1" applyAlignment="1">
      <alignment horizontal="center"/>
    </xf>
    <xf numFmtId="167" fontId="14" fillId="34" borderId="12" xfId="42" applyNumberFormat="1" applyFont="1" applyFill="1" applyBorder="1"/>
    <xf numFmtId="167" fontId="0" fillId="0" borderId="10" xfId="0" applyNumberFormat="1" applyBorder="1"/>
    <xf numFmtId="0" fontId="46" fillId="33" borderId="25" xfId="0" applyFont="1" applyFill="1" applyBorder="1"/>
    <xf numFmtId="9" fontId="46" fillId="0" borderId="24" xfId="0" applyNumberFormat="1" applyFont="1" applyBorder="1"/>
    <xf numFmtId="167" fontId="47" fillId="34" borderId="0" xfId="0" applyNumberFormat="1" applyFont="1" applyFill="1"/>
    <xf numFmtId="44" fontId="0" fillId="34" borderId="0" xfId="42" applyFont="1" applyFill="1" applyProtection="1"/>
    <xf numFmtId="0" fontId="0" fillId="34" borderId="0" xfId="0" applyFill="1"/>
    <xf numFmtId="0" fontId="16" fillId="0" borderId="0" xfId="0" applyFont="1" applyAlignment="1">
      <alignment horizontal="center" vertical="center"/>
    </xf>
    <xf numFmtId="10" fontId="0" fillId="37" borderId="12" xfId="0" applyNumberFormat="1" applyFill="1" applyBorder="1"/>
    <xf numFmtId="164" fontId="0" fillId="37" borderId="12" xfId="0" applyNumberFormat="1" applyFill="1" applyBorder="1"/>
    <xf numFmtId="167" fontId="39" fillId="38" borderId="0" xfId="0" applyNumberFormat="1" applyFont="1" applyFill="1"/>
    <xf numFmtId="167" fontId="0" fillId="38" borderId="0" xfId="42" applyNumberFormat="1" applyFont="1" applyFill="1" applyBorder="1"/>
    <xf numFmtId="167" fontId="0" fillId="38" borderId="0" xfId="0" applyNumberFormat="1" applyFill="1"/>
    <xf numFmtId="167" fontId="14" fillId="34" borderId="11" xfId="0" applyNumberFormat="1" applyFont="1" applyFill="1" applyBorder="1"/>
    <xf numFmtId="44" fontId="41" fillId="0" borderId="0" xfId="43" applyNumberFormat="1"/>
    <xf numFmtId="9" fontId="41" fillId="0" borderId="0" xfId="44" applyFont="1"/>
    <xf numFmtId="0" fontId="39" fillId="0" borderId="11" xfId="0" applyFont="1" applyBorder="1"/>
    <xf numFmtId="3" fontId="0" fillId="34" borderId="11" xfId="0" applyNumberFormat="1" applyFill="1" applyBorder="1"/>
    <xf numFmtId="0" fontId="0" fillId="34" borderId="11" xfId="0" applyFill="1" applyBorder="1" applyAlignment="1">
      <alignment wrapText="1"/>
    </xf>
    <xf numFmtId="44" fontId="14" fillId="0" borderId="0" xfId="0" applyNumberFormat="1" applyFont="1"/>
    <xf numFmtId="44" fontId="0" fillId="0" borderId="0" xfId="0" applyNumberFormat="1"/>
    <xf numFmtId="44" fontId="14" fillId="0" borderId="11" xfId="0" applyNumberFormat="1" applyFont="1" applyBorder="1"/>
    <xf numFmtId="44" fontId="14" fillId="0" borderId="11" xfId="42" applyFont="1" applyBorder="1" applyAlignment="1">
      <alignment horizontal="center"/>
    </xf>
    <xf numFmtId="44" fontId="0" fillId="0" borderId="11" xfId="0" applyNumberFormat="1" applyBorder="1"/>
    <xf numFmtId="0" fontId="0" fillId="34" borderId="11" xfId="0" applyFill="1" applyBorder="1" applyAlignment="1">
      <alignment horizontal="center" wrapText="1"/>
    </xf>
    <xf numFmtId="164" fontId="16" fillId="34" borderId="12" xfId="0" applyNumberFormat="1" applyFont="1" applyFill="1" applyBorder="1"/>
    <xf numFmtId="164" fontId="16" fillId="37" borderId="12" xfId="0" applyNumberFormat="1" applyFont="1" applyFill="1" applyBorder="1"/>
    <xf numFmtId="164" fontId="16" fillId="33" borderId="12" xfId="0" applyNumberFormat="1" applyFont="1" applyFill="1" applyBorder="1"/>
    <xf numFmtId="167" fontId="1" fillId="37" borderId="12" xfId="42" applyNumberFormat="1" applyFont="1" applyFill="1" applyBorder="1"/>
    <xf numFmtId="0" fontId="14" fillId="34" borderId="11" xfId="0" applyFont="1" applyFill="1" applyBorder="1"/>
    <xf numFmtId="167" fontId="1" fillId="33" borderId="12" xfId="42" applyNumberFormat="1" applyFont="1" applyFill="1" applyBorder="1"/>
    <xf numFmtId="0" fontId="50" fillId="34" borderId="11" xfId="0" applyFont="1" applyFill="1" applyBorder="1"/>
    <xf numFmtId="0" fontId="0" fillId="0" borderId="14" xfId="0" applyBorder="1"/>
    <xf numFmtId="44" fontId="0" fillId="0" borderId="14" xfId="0" applyNumberFormat="1" applyBorder="1"/>
    <xf numFmtId="44" fontId="41" fillId="0" borderId="0" xfId="42" applyFont="1"/>
    <xf numFmtId="167" fontId="16" fillId="0" borderId="0" xfId="0" applyNumberFormat="1" applyFont="1"/>
    <xf numFmtId="10" fontId="39" fillId="0" borderId="0" xfId="0" applyNumberFormat="1" applyFont="1"/>
    <xf numFmtId="10" fontId="0" fillId="0" borderId="0" xfId="0" applyNumberFormat="1"/>
    <xf numFmtId="10" fontId="0" fillId="34" borderId="11" xfId="44" applyNumberFormat="1" applyFont="1" applyFill="1" applyBorder="1"/>
    <xf numFmtId="10" fontId="0" fillId="0" borderId="0" xfId="44" applyNumberFormat="1" applyFont="1"/>
    <xf numFmtId="44" fontId="0" fillId="34" borderId="11" xfId="0" applyNumberFormat="1" applyFill="1" applyBorder="1"/>
    <xf numFmtId="3" fontId="14" fillId="37" borderId="11" xfId="0" applyNumberFormat="1" applyFont="1" applyFill="1" applyBorder="1"/>
    <xf numFmtId="0" fontId="51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44" fontId="51" fillId="0" borderId="0" xfId="42" applyFont="1" applyAlignment="1">
      <alignment horizontal="left"/>
    </xf>
    <xf numFmtId="44" fontId="51" fillId="0" borderId="0" xfId="42" applyFont="1" applyFill="1" applyBorder="1" applyAlignment="1">
      <alignment horizontal="left"/>
    </xf>
    <xf numFmtId="44" fontId="52" fillId="0" borderId="0" xfId="42" applyFont="1" applyFill="1" applyBorder="1" applyAlignment="1">
      <alignment horizontal="left"/>
    </xf>
    <xf numFmtId="164" fontId="16" fillId="0" borderId="17" xfId="0" applyNumberFormat="1" applyFont="1" applyBorder="1"/>
    <xf numFmtId="0" fontId="53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37" fontId="0" fillId="0" borderId="0" xfId="0" applyNumberFormat="1" applyAlignment="1">
      <alignment horizontal="right"/>
    </xf>
    <xf numFmtId="0" fontId="23" fillId="0" borderId="0" xfId="0" applyFont="1" applyAlignment="1">
      <alignment horizontal="right" indent="1"/>
    </xf>
    <xf numFmtId="0" fontId="0" fillId="0" borderId="27" xfId="0" applyBorder="1"/>
    <xf numFmtId="37" fontId="0" fillId="0" borderId="29" xfId="0" applyNumberFormat="1" applyBorder="1"/>
    <xf numFmtId="0" fontId="0" fillId="0" borderId="30" xfId="0" applyBorder="1"/>
    <xf numFmtId="37" fontId="0" fillId="0" borderId="30" xfId="0" applyNumberFormat="1" applyBorder="1" applyAlignment="1">
      <alignment horizontal="right"/>
    </xf>
    <xf numFmtId="37" fontId="0" fillId="0" borderId="11" xfId="0" applyNumberFormat="1" applyBorder="1"/>
    <xf numFmtId="44" fontId="0" fillId="34" borderId="0" xfId="0" applyNumberFormat="1" applyFill="1"/>
    <xf numFmtId="0" fontId="0" fillId="0" borderId="26" xfId="0" applyBorder="1"/>
    <xf numFmtId="0" fontId="0" fillId="0" borderId="31" xfId="0" applyBorder="1"/>
    <xf numFmtId="0" fontId="16" fillId="0" borderId="32" xfId="0" applyFont="1" applyBorder="1" applyAlignment="1">
      <alignment horizontal="right"/>
    </xf>
    <xf numFmtId="167" fontId="0" fillId="34" borderId="14" xfId="0" applyNumberFormat="1" applyFill="1" applyBorder="1"/>
    <xf numFmtId="167" fontId="0" fillId="0" borderId="31" xfId="0" applyNumberFormat="1" applyBorder="1"/>
    <xf numFmtId="0" fontId="16" fillId="0" borderId="26" xfId="0" applyFont="1" applyBorder="1"/>
    <xf numFmtId="167" fontId="16" fillId="41" borderId="32" xfId="0" applyNumberFormat="1" applyFont="1" applyFill="1" applyBorder="1"/>
    <xf numFmtId="0" fontId="16" fillId="41" borderId="25" xfId="0" applyFont="1" applyFill="1" applyBorder="1"/>
    <xf numFmtId="0" fontId="16" fillId="0" borderId="0" xfId="0" applyFont="1"/>
    <xf numFmtId="0" fontId="54" fillId="0" borderId="0" xfId="0" applyFont="1" applyAlignment="1">
      <alignment horizontal="right"/>
    </xf>
    <xf numFmtId="167" fontId="0" fillId="0" borderId="15" xfId="0" applyNumberFormat="1" applyBorder="1"/>
    <xf numFmtId="167" fontId="16" fillId="0" borderId="31" xfId="0" applyNumberFormat="1" applyFont="1" applyBorder="1"/>
    <xf numFmtId="0" fontId="16" fillId="34" borderId="31" xfId="0" applyFont="1" applyFill="1" applyBorder="1" applyAlignment="1">
      <alignment horizontal="right"/>
    </xf>
    <xf numFmtId="0" fontId="16" fillId="0" borderId="33" xfId="0" applyFont="1" applyBorder="1"/>
    <xf numFmtId="167" fontId="0" fillId="0" borderId="28" xfId="0" applyNumberFormat="1" applyBorder="1"/>
    <xf numFmtId="0" fontId="0" fillId="39" borderId="11" xfId="0" applyFill="1" applyBorder="1"/>
    <xf numFmtId="167" fontId="0" fillId="39" borderId="11" xfId="0" applyNumberFormat="1" applyFill="1" applyBorder="1"/>
    <xf numFmtId="0" fontId="0" fillId="40" borderId="11" xfId="0" applyFill="1" applyBorder="1"/>
    <xf numFmtId="167" fontId="0" fillId="40" borderId="11" xfId="0" applyNumberFormat="1" applyFill="1" applyBorder="1"/>
    <xf numFmtId="167" fontId="16" fillId="0" borderId="11" xfId="42" applyNumberFormat="1" applyFont="1" applyBorder="1"/>
    <xf numFmtId="0" fontId="16" fillId="0" borderId="0" xfId="0" applyFont="1" applyAlignment="1">
      <alignment horizontal="right"/>
    </xf>
    <xf numFmtId="167" fontId="16" fillId="0" borderId="11" xfId="0" applyNumberFormat="1" applyFont="1" applyBorder="1"/>
    <xf numFmtId="37" fontId="16" fillId="0" borderId="0" xfId="0" applyNumberFormat="1" applyFont="1" applyAlignment="1">
      <alignment horizontal="right"/>
    </xf>
    <xf numFmtId="167" fontId="16" fillId="0" borderId="11" xfId="42" applyNumberFormat="1" applyFont="1" applyBorder="1" applyAlignment="1">
      <alignment horizontal="left" indent="2"/>
    </xf>
    <xf numFmtId="0" fontId="56" fillId="0" borderId="0" xfId="0" applyFont="1" applyAlignment="1">
      <alignment horizontal="right"/>
    </xf>
    <xf numFmtId="0" fontId="55" fillId="0" borderId="0" xfId="0" applyFont="1" applyAlignment="1">
      <alignment horizontal="right"/>
    </xf>
    <xf numFmtId="167" fontId="56" fillId="0" borderId="11" xfId="0" applyNumberFormat="1" applyFont="1" applyBorder="1"/>
    <xf numFmtId="0" fontId="0" fillId="0" borderId="11" xfId="0" applyBorder="1" applyAlignment="1">
      <alignment horizontal="center"/>
    </xf>
    <xf numFmtId="167" fontId="39" fillId="0" borderId="11" xfId="0" applyNumberFormat="1" applyFont="1" applyBorder="1"/>
    <xf numFmtId="10" fontId="0" fillId="0" borderId="11" xfId="0" applyNumberFormat="1" applyBorder="1" applyAlignment="1">
      <alignment horizontal="right"/>
    </xf>
    <xf numFmtId="167" fontId="0" fillId="0" borderId="11" xfId="42" applyNumberFormat="1" applyFont="1" applyFill="1" applyBorder="1"/>
    <xf numFmtId="10" fontId="39" fillId="0" borderId="11" xfId="44" applyNumberFormat="1" applyFont="1" applyFill="1" applyBorder="1" applyAlignment="1">
      <alignment horizontal="right"/>
    </xf>
    <xf numFmtId="167" fontId="0" fillId="40" borderId="34" xfId="0" applyNumberFormat="1" applyFill="1" applyBorder="1"/>
    <xf numFmtId="167" fontId="16" fillId="0" borderId="35" xfId="0" applyNumberFormat="1" applyFont="1" applyBorder="1"/>
    <xf numFmtId="0" fontId="23" fillId="0" borderId="11" xfId="0" applyFont="1" applyBorder="1"/>
    <xf numFmtId="167" fontId="16" fillId="0" borderId="34" xfId="42" applyNumberFormat="1" applyFont="1" applyBorder="1"/>
    <xf numFmtId="37" fontId="0" fillId="0" borderId="36" xfId="0" applyNumberFormat="1" applyBorder="1"/>
    <xf numFmtId="167" fontId="16" fillId="0" borderId="37" xfId="0" applyNumberFormat="1" applyFont="1" applyBorder="1"/>
    <xf numFmtId="167" fontId="0" fillId="39" borderId="34" xfId="0" applyNumberFormat="1" applyFill="1" applyBorder="1"/>
    <xf numFmtId="0" fontId="0" fillId="0" borderId="12" xfId="0" applyBorder="1"/>
    <xf numFmtId="169" fontId="0" fillId="0" borderId="11" xfId="45" applyNumberFormat="1" applyFont="1" applyBorder="1"/>
    <xf numFmtId="0" fontId="0" fillId="0" borderId="34" xfId="0" applyBorder="1"/>
    <xf numFmtId="0" fontId="23" fillId="0" borderId="28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BC5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2025 Budget Distribution</a:t>
            </a:r>
          </a:p>
        </c:rich>
      </c:tx>
      <c:layout>
        <c:manualLayout>
          <c:xMode val="edge"/>
          <c:yMode val="edge"/>
          <c:x val="0.38090450655892572"/>
          <c:y val="3.0220527970152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783628436791676E-2"/>
          <c:y val="0.18615371305217648"/>
          <c:w val="0.96920385121602348"/>
          <c:h val="0.7486759059576151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B3E4-4AAD-B2A5-5B468AB8029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3E4-4AAD-B2A5-5B468AB8029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34A-43A2-9573-0876FA792E1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B3E4-4AAD-B2A5-5B468AB8029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3E4-4AAD-B2A5-5B468AB8029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3E4-4AAD-B2A5-5B468AB8029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B3E4-4AAD-B2A5-5B468AB8029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3E4-4AAD-B2A5-5B468AB80298}"/>
              </c:ext>
            </c:extLst>
          </c:dPt>
          <c:dLbls>
            <c:dLbl>
              <c:idx val="0"/>
              <c:layout>
                <c:manualLayout>
                  <c:x val="-2.0011704071398601E-2"/>
                  <c:y val="-1.75460389428899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4-4AAD-B2A5-5B468AB80298}"/>
                </c:ext>
              </c:extLst>
            </c:dLbl>
            <c:dLbl>
              <c:idx val="1"/>
              <c:layout>
                <c:manualLayout>
                  <c:x val="7.6030418188662782E-2"/>
                  <c:y val="-1.19053332618129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4-4AAD-B2A5-5B468AB80298}"/>
                </c:ext>
              </c:extLst>
            </c:dLbl>
            <c:dLbl>
              <c:idx val="2"/>
              <c:layout>
                <c:manualLayout>
                  <c:x val="0.31258448937324584"/>
                  <c:y val="-0.131001622750821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4A-43A2-9573-0876FA792E1C}"/>
                </c:ext>
              </c:extLst>
            </c:dLbl>
            <c:dLbl>
              <c:idx val="3"/>
              <c:layout>
                <c:manualLayout>
                  <c:x val="-4.7885366020605204E-2"/>
                  <c:y val="8.13940295679600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E4-4AAD-B2A5-5B468AB80298}"/>
                </c:ext>
              </c:extLst>
            </c:dLbl>
            <c:dLbl>
              <c:idx val="4"/>
              <c:layout>
                <c:manualLayout>
                  <c:x val="-7.5141831475846466E-2"/>
                  <c:y val="3.06289739260299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E4-4AAD-B2A5-5B468AB80298}"/>
                </c:ext>
              </c:extLst>
            </c:dLbl>
            <c:dLbl>
              <c:idx val="5"/>
              <c:layout>
                <c:manualLayout>
                  <c:x val="-8.9476149132279373E-2"/>
                  <c:y val="-4.30114070136137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4-4AAD-B2A5-5B468AB80298}"/>
                </c:ext>
              </c:extLst>
            </c:dLbl>
            <c:dLbl>
              <c:idx val="6"/>
              <c:layout>
                <c:manualLayout>
                  <c:x val="-2.4671308427398078E-2"/>
                  <c:y val="-8.53835308802960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4-4AAD-B2A5-5B468AB80298}"/>
                </c:ext>
              </c:extLst>
            </c:dLbl>
            <c:dLbl>
              <c:idx val="7"/>
              <c:layout>
                <c:manualLayout>
                  <c:x val="5.5104274282801895E-2"/>
                  <c:y val="-2.459412318683094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4-4AAD-B2A5-5B468AB802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Distribution'!$B$6:$B$13</c:f>
              <c:strCache>
                <c:ptCount val="8"/>
                <c:pt idx="0">
                  <c:v>100 General Government</c:v>
                </c:pt>
                <c:pt idx="1">
                  <c:v>200 Public Safety</c:v>
                </c:pt>
                <c:pt idx="2">
                  <c:v>300 Education</c:v>
                </c:pt>
                <c:pt idx="3">
                  <c:v>400 Public Works</c:v>
                </c:pt>
                <c:pt idx="4">
                  <c:v>500 Human Services</c:v>
                </c:pt>
                <c:pt idx="5">
                  <c:v>600 Culture and Recreation</c:v>
                </c:pt>
                <c:pt idx="6">
                  <c:v>700 Debt Service</c:v>
                </c:pt>
                <c:pt idx="7">
                  <c:v>900 Unclassified/Miscellaneous</c:v>
                </c:pt>
              </c:strCache>
            </c:strRef>
          </c:cat>
          <c:val>
            <c:numRef>
              <c:f>'Budget Distribution'!$C$6:$C$13</c:f>
              <c:numCache>
                <c:formatCode>_("$"* #,##0.00_);_("$"* \(#,##0.00\);_("$"* "-"??_);_(@_)</c:formatCode>
                <c:ptCount val="8"/>
                <c:pt idx="0">
                  <c:v>869142.52</c:v>
                </c:pt>
                <c:pt idx="1">
                  <c:v>3216291.4</c:v>
                </c:pt>
                <c:pt idx="2">
                  <c:v>15144333.454</c:v>
                </c:pt>
                <c:pt idx="3">
                  <c:v>1056400</c:v>
                </c:pt>
                <c:pt idx="4">
                  <c:v>98056</c:v>
                </c:pt>
                <c:pt idx="5">
                  <c:v>175984</c:v>
                </c:pt>
                <c:pt idx="6">
                  <c:v>1268563.5</c:v>
                </c:pt>
                <c:pt idx="7">
                  <c:v>1935927.5564999999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4-4AAD-B2A5-5B468AB802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FY2025 Town Of Berkley Revenue Sources</a:t>
            </a:r>
          </a:p>
          <a:p>
            <a:pPr>
              <a:defRPr/>
            </a:pPr>
            <a:r>
              <a:rPr lang="en-US"/>
              <a:t>(Based on Senate Ways and Mean Estimated Budget)</a:t>
            </a:r>
          </a:p>
        </c:rich>
      </c:tx>
      <c:layout>
        <c:manualLayout>
          <c:xMode val="edge"/>
          <c:yMode val="edge"/>
          <c:x val="0.33055171538672173"/>
          <c:y val="2.400009147650109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76328936081688"/>
          <c:y val="0.18280435049604937"/>
          <c:w val="0.79968478827853329"/>
          <c:h val="0.78331127371105957"/>
        </c:manualLayout>
      </c:layout>
      <c:pie3DChart>
        <c:varyColors val="1"/>
        <c:ser>
          <c:idx val="0"/>
          <c:order val="0"/>
          <c:explosion val="21"/>
          <c:dPt>
            <c:idx val="0"/>
            <c:bubble3D val="0"/>
            <c:explosion val="19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2FE-43C3-B007-A6F294998072}"/>
              </c:ext>
            </c:extLst>
          </c:dPt>
          <c:dPt>
            <c:idx val="1"/>
            <c:bubble3D val="0"/>
            <c:explosion val="18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2FE-43C3-B007-A6F294998072}"/>
              </c:ext>
            </c:extLst>
          </c:dPt>
          <c:dPt>
            <c:idx val="2"/>
            <c:bubble3D val="0"/>
            <c:explosion val="15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2FE-43C3-B007-A6F29499807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2FE-43C3-B007-A6F29499807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8FF-4812-B366-7D68FA9DCA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8FF-4812-B366-7D68FA9DCA2A}"/>
              </c:ext>
            </c:extLst>
          </c:dPt>
          <c:dLbls>
            <c:dLbl>
              <c:idx val="0"/>
              <c:layout>
                <c:manualLayout>
                  <c:x val="-6.667384817940103E-2"/>
                  <c:y val="-0.3351013705609156"/>
                </c:manualLayout>
              </c:layout>
              <c:tx>
                <c:rich>
                  <a:bodyPr/>
                  <a:lstStyle/>
                  <a:p>
                    <a:fld id="{D4BA6A96-1103-4552-99E6-EA477F46096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0EADA14D-7F96-4F34-BC62-82A575C652B8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148234B6-327C-40B6-8658-4A6E9C630E4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2FE-43C3-B007-A6F294998072}"/>
                </c:ext>
              </c:extLst>
            </c:dLbl>
            <c:dLbl>
              <c:idx val="1"/>
              <c:layout>
                <c:manualLayout>
                  <c:x val="-5.4764164251455538E-3"/>
                  <c:y val="0.12749482571177737"/>
                </c:manualLayout>
              </c:layout>
              <c:tx>
                <c:rich>
                  <a:bodyPr/>
                  <a:lstStyle/>
                  <a:p>
                    <a:fld id="{69D585EC-19E3-48C0-B9DA-32B995D8685C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AD44E899-B814-43C3-BC23-B30792F7BCFB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4BAFD48D-B74E-412E-8B26-8636C0B5B49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2FE-43C3-B007-A6F294998072}"/>
                </c:ext>
              </c:extLst>
            </c:dLbl>
            <c:dLbl>
              <c:idx val="2"/>
              <c:layout>
                <c:manualLayout>
                  <c:x val="-6.7576552930883646E-2"/>
                  <c:y val="-5.2716694641939253E-2"/>
                </c:manualLayout>
              </c:layout>
              <c:tx>
                <c:rich>
                  <a:bodyPr/>
                  <a:lstStyle/>
                  <a:p>
                    <a:fld id="{EE123DD0-ECE6-4594-9061-D3AFE56C383B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804216B-08F4-4417-BBED-A66E1AFA031E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E36CC65F-B5E0-4D0B-AFAE-E01AB922FA7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2FE-43C3-B007-A6F294998072}"/>
                </c:ext>
              </c:extLst>
            </c:dLbl>
            <c:dLbl>
              <c:idx val="3"/>
              <c:layout>
                <c:manualLayout>
                  <c:x val="-6.2269073043394005E-2"/>
                  <c:y val="-7.6801266392827416E-2"/>
                </c:manualLayout>
              </c:layout>
              <c:tx>
                <c:rich>
                  <a:bodyPr/>
                  <a:lstStyle/>
                  <a:p>
                    <a:fld id="{43DA3185-17EE-42D5-A544-FFF93C013F62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fld id="{10D0101A-FA6F-44F3-B90E-F7B1C4FF5D1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, </a:t>
                    </a:r>
                    <a:fld id="{DDC9ADAF-9525-4AF9-A0B5-853DFA8ECA8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2FE-43C3-B007-A6F2949980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'Revenue Sources'!$A$3:$A$8</c:f>
              <c:strCache>
                <c:ptCount val="6"/>
                <c:pt idx="0">
                  <c:v>Taxation</c:v>
                </c:pt>
                <c:pt idx="1">
                  <c:v>State Aid</c:v>
                </c:pt>
                <c:pt idx="2">
                  <c:v>Local Receipts</c:v>
                </c:pt>
                <c:pt idx="3">
                  <c:v>SBRHS Stabilization</c:v>
                </c:pt>
                <c:pt idx="4">
                  <c:v>EMS Receipts</c:v>
                </c:pt>
                <c:pt idx="5">
                  <c:v>Non Recurring</c:v>
                </c:pt>
              </c:strCache>
            </c:strRef>
          </c:cat>
          <c:val>
            <c:numRef>
              <c:f>'Revenue Sources'!$B$3:$B$8</c:f>
              <c:numCache>
                <c:formatCode>"$"#,##0_);\("$"#,##0\)</c:formatCode>
                <c:ptCount val="6"/>
                <c:pt idx="0" formatCode="_(&quot;$&quot;* #,##0.00_);_(&quot;$&quot;* \(#,##0.00\);_(&quot;$&quot;* &quot;-&quot;??_);_(@_)">
                  <c:v>13432749.678750001</c:v>
                </c:pt>
                <c:pt idx="1">
                  <c:v>5917330</c:v>
                </c:pt>
                <c:pt idx="2">
                  <c:v>1407720</c:v>
                </c:pt>
                <c:pt idx="3">
                  <c:v>2747558</c:v>
                </c:pt>
                <c:pt idx="4">
                  <c:v>450000</c:v>
                </c:pt>
                <c:pt idx="5">
                  <c:v>865342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FE-43C3-B007-A6F294998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FY2010 - 2019 Town Of Berkley Revenue Sources</a:t>
            </a:r>
          </a:p>
        </c:rich>
      </c:tx>
      <c:layout>
        <c:manualLayout>
          <c:xMode val="edge"/>
          <c:yMode val="edge"/>
          <c:x val="0.33055171538672173"/>
          <c:y val="2.4000091476501093E-2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75540322497085"/>
          <c:y val="0.18835486000840335"/>
          <c:w val="0.79968478827853329"/>
          <c:h val="0.64707456794031404"/>
        </c:manualLayout>
      </c:layout>
      <c:areaChart>
        <c:grouping val="stacked"/>
        <c:varyColors val="0"/>
        <c:ser>
          <c:idx val="0"/>
          <c:order val="0"/>
          <c:tx>
            <c:strRef>
              <c:f>'Revenue Sources'!$A$3</c:f>
              <c:strCache>
                <c:ptCount val="1"/>
                <c:pt idx="0">
                  <c:v>Taxation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Sources'!$C$3:$Q$3</c:f>
              <c:numCache>
                <c:formatCode>General</c:formatCode>
                <c:ptCount val="15"/>
                <c:pt idx="0" formatCode="&quot;$&quot;#,##0_);\(&quot;$&quot;#,##0\)">
                  <c:v>12748836.449999999</c:v>
                </c:pt>
                <c:pt idx="6" formatCode="&quot;$&quot;#,##0">
                  <c:v>10326674.762671266</c:v>
                </c:pt>
                <c:pt idx="7" formatCode="&quot;$&quot;#,##0">
                  <c:v>9981817.2085999995</c:v>
                </c:pt>
                <c:pt idx="8" formatCode="&quot;$&quot;#,##0">
                  <c:v>9563489.9900000002</c:v>
                </c:pt>
                <c:pt idx="9" formatCode="&quot;$&quot;#,##0">
                  <c:v>8721341.379999999</c:v>
                </c:pt>
                <c:pt idx="10" formatCode="&quot;$&quot;#,##0">
                  <c:v>8210355</c:v>
                </c:pt>
                <c:pt idx="11" formatCode="&quot;$&quot;#,##0">
                  <c:v>7719477.3799999999</c:v>
                </c:pt>
                <c:pt idx="12" formatCode="&quot;$&quot;#,##0">
                  <c:v>7480697.3799999999</c:v>
                </c:pt>
                <c:pt idx="13" formatCode="&quot;$&quot;#,##0">
                  <c:v>7559403</c:v>
                </c:pt>
                <c:pt idx="14" formatCode="&quot;$&quot;#,##0">
                  <c:v>7328194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A-4627-A4C0-0D9028833F3D}"/>
            </c:ext>
          </c:extLst>
        </c:ser>
        <c:ser>
          <c:idx val="1"/>
          <c:order val="1"/>
          <c:tx>
            <c:strRef>
              <c:f>'Revenue Sources'!$A$4</c:f>
              <c:strCache>
                <c:ptCount val="1"/>
                <c:pt idx="0">
                  <c:v>State Aid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Sources'!$C$4:$Q$4</c:f>
              <c:numCache>
                <c:formatCode>General</c:formatCode>
                <c:ptCount val="15"/>
                <c:pt idx="0" formatCode="&quot;$&quot;#,##0_);\(&quot;$&quot;#,##0\)">
                  <c:v>5780886</c:v>
                </c:pt>
                <c:pt idx="6" formatCode="&quot;$&quot;#,##0">
                  <c:v>5268191</c:v>
                </c:pt>
                <c:pt idx="7" formatCode="&quot;$&quot;#,##0">
                  <c:v>5239314</c:v>
                </c:pt>
                <c:pt idx="8" formatCode="&quot;$&quot;#,##0">
                  <c:v>5152611</c:v>
                </c:pt>
                <c:pt idx="9" formatCode="&quot;$&quot;#,##0">
                  <c:v>5123038.2</c:v>
                </c:pt>
                <c:pt idx="10" formatCode="&quot;$&quot;#,##0">
                  <c:v>5094241</c:v>
                </c:pt>
                <c:pt idx="11" formatCode="&quot;$&quot;#,##0">
                  <c:v>5023365</c:v>
                </c:pt>
                <c:pt idx="12" formatCode="&quot;$&quot;#,##0">
                  <c:v>5005766.43</c:v>
                </c:pt>
                <c:pt idx="13" formatCode="&quot;$&quot;#,##0">
                  <c:v>6424971</c:v>
                </c:pt>
                <c:pt idx="14" formatCode="&quot;$&quot;#,##0">
                  <c:v>6764104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3A-4627-A4C0-0D9028833F3D}"/>
            </c:ext>
          </c:extLst>
        </c:ser>
        <c:ser>
          <c:idx val="2"/>
          <c:order val="2"/>
          <c:tx>
            <c:strRef>
              <c:f>'Revenue Sources'!$A$5</c:f>
              <c:strCache>
                <c:ptCount val="1"/>
                <c:pt idx="0">
                  <c:v>Local Receipts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Sources'!$C$5:$Q$5</c:f>
              <c:numCache>
                <c:formatCode>General</c:formatCode>
                <c:ptCount val="15"/>
                <c:pt idx="0" formatCode="&quot;$&quot;#,##0_);\(&quot;$&quot;#,##0\)">
                  <c:v>1369720</c:v>
                </c:pt>
                <c:pt idx="6" formatCode="&quot;$&quot;#,##0">
                  <c:v>1049436</c:v>
                </c:pt>
                <c:pt idx="7" formatCode="&quot;$&quot;#,##0">
                  <c:v>1047594</c:v>
                </c:pt>
                <c:pt idx="8" formatCode="&quot;$&quot;#,##0">
                  <c:v>1047594</c:v>
                </c:pt>
                <c:pt idx="9" formatCode="&quot;$&quot;#,##0">
                  <c:v>1012225</c:v>
                </c:pt>
                <c:pt idx="10" formatCode="&quot;$&quot;#,##0">
                  <c:v>1377601.2400000005</c:v>
                </c:pt>
                <c:pt idx="11" formatCode="&quot;$&quot;#,##0">
                  <c:v>1087302.6200000001</c:v>
                </c:pt>
                <c:pt idx="12" formatCode="&quot;$&quot;#,##0">
                  <c:v>949210</c:v>
                </c:pt>
                <c:pt idx="13" formatCode="&quot;$&quot;#,##0">
                  <c:v>933000</c:v>
                </c:pt>
                <c:pt idx="14" formatCode="&quot;$&quot;#,##0">
                  <c:v>933000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A-4627-A4C0-0D9028833F3D}"/>
            </c:ext>
          </c:extLst>
        </c:ser>
        <c:ser>
          <c:idx val="3"/>
          <c:order val="3"/>
          <c:tx>
            <c:strRef>
              <c:f>'Revenue Sources'!$A$6</c:f>
              <c:strCache>
                <c:ptCount val="1"/>
                <c:pt idx="0">
                  <c:v>SBRHS Stabilization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numRef>
              <c:f>'Revenue Sources'!$H$2:$Q$2</c:f>
              <c:numCache>
                <c:formatCode>yyyy</c:formatCode>
                <c:ptCount val="10"/>
                <c:pt idx="0">
                  <c:v>43466</c:v>
                </c:pt>
                <c:pt idx="1">
                  <c:v>43102</c:v>
                </c:pt>
                <c:pt idx="2">
                  <c:v>42736</c:v>
                </c:pt>
                <c:pt idx="3">
                  <c:v>42370</c:v>
                </c:pt>
                <c:pt idx="4">
                  <c:v>42006</c:v>
                </c:pt>
                <c:pt idx="5">
                  <c:v>41642</c:v>
                </c:pt>
                <c:pt idx="6">
                  <c:v>41278</c:v>
                </c:pt>
                <c:pt idx="7">
                  <c:v>40913</c:v>
                </c:pt>
                <c:pt idx="8">
                  <c:v>40549</c:v>
                </c:pt>
                <c:pt idx="9">
                  <c:v>40185</c:v>
                </c:pt>
              </c:numCache>
            </c:numRef>
          </c:cat>
          <c:val>
            <c:numRef>
              <c:f>'Revenue Sources'!$C$6:$Q$6</c:f>
              <c:numCache>
                <c:formatCode>General</c:formatCode>
                <c:ptCount val="15"/>
                <c:pt idx="0" formatCode="&quot;$&quot;#,##0_);\(&quot;$&quot;#,##0\)">
                  <c:v>2779717</c:v>
                </c:pt>
                <c:pt idx="6" formatCode="&quot;$&quot;#,##0">
                  <c:v>1867257</c:v>
                </c:pt>
                <c:pt idx="7" formatCode="&quot;$&quot;#,##0">
                  <c:v>2390551</c:v>
                </c:pt>
                <c:pt idx="8" formatCode="&quot;$&quot;#,##0">
                  <c:v>1996351</c:v>
                </c:pt>
                <c:pt idx="9" formatCode="&quot;$&quot;#,##0">
                  <c:v>1809175</c:v>
                </c:pt>
                <c:pt idx="10" formatCode="&quot;$&quot;#,##0">
                  <c:v>1736298.18</c:v>
                </c:pt>
                <c:pt idx="11" formatCode="&quot;$&quot;#,##0">
                  <c:v>1908234</c:v>
                </c:pt>
                <c:pt idx="12" formatCode="&quot;$&quot;#,##0">
                  <c:v>1710262</c:v>
                </c:pt>
                <c:pt idx="13" formatCode="&quot;$&quot;#,##0">
                  <c:v>162006</c:v>
                </c:pt>
                <c:pt idx="14" formatCode="&quot;$&quot;#,##0">
                  <c:v>162006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3A-4627-A4C0-0D9028833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223104"/>
        <c:axId val="170224640"/>
      </c:areaChart>
      <c:catAx>
        <c:axId val="17022310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4640"/>
        <c:crosses val="autoZero"/>
        <c:auto val="0"/>
        <c:lblAlgn val="ctr"/>
        <c:lblOffset val="100"/>
        <c:noMultiLvlLbl val="0"/>
      </c:catAx>
      <c:valAx>
        <c:axId val="170224640"/>
        <c:scaling>
          <c:orientation val="minMax"/>
          <c:max val="2000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\$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31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1047749</xdr:colOff>
      <xdr:row>7</xdr:row>
      <xdr:rowOff>71439</xdr:rowOff>
    </xdr:from>
    <xdr:to>
      <xdr:col>13</xdr:col>
      <xdr:colOff>95250</xdr:colOff>
      <xdr:row>40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B8BE96-0137-CD9B-131A-226B2902A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66675</xdr:colOff>
      <xdr:row>9</xdr:row>
      <xdr:rowOff>19050</xdr:rowOff>
    </xdr:from>
    <xdr:to>
      <xdr:col>13</xdr:col>
      <xdr:colOff>361950</xdr:colOff>
      <xdr:row>43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CD4E87-0E59-4118-A299-4918B0F57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390525</xdr:colOff>
      <xdr:row>51</xdr:row>
      <xdr:rowOff>104775</xdr:rowOff>
    </xdr:from>
    <xdr:to>
      <xdr:col>19</xdr:col>
      <xdr:colOff>142875</xdr:colOff>
      <xdr:row>85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7E85D0-B79B-4FFB-81DC-1F80C9127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0.11944</cdr:x>
      <cdr:y>0.24808</cdr:y>
    </cdr:from>
    <cdr:to>
      <cdr:x>0.21874</cdr:x>
      <cdr:y>0.29328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18540" y="147066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Other Funds</a:t>
          </a:r>
        </a:p>
      </cdr:txBody>
    </cdr:sp>
  </cdr:relSizeAnchor>
  <cdr:relSizeAnchor xmlns:cdr="http://schemas.openxmlformats.org/drawingml/2006/chartDrawing">
    <cdr:from>
      <cdr:x>0.11944</cdr:x>
      <cdr:y>0.39675</cdr:y>
    </cdr:from>
    <cdr:to>
      <cdr:x>0.21874</cdr:x>
      <cdr:y>0.44121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18540" y="230632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State Aid</a:t>
          </a:r>
        </a:p>
      </cdr:txBody>
    </cdr:sp>
  </cdr:relSizeAnchor>
  <cdr:relSizeAnchor xmlns:cdr="http://schemas.openxmlformats.org/drawingml/2006/chartDrawing">
    <cdr:from>
      <cdr:x>0.11944</cdr:x>
      <cdr:y>0.64345</cdr:y>
    </cdr:from>
    <cdr:to>
      <cdr:x>0.21874</cdr:x>
      <cdr:y>0.68791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018540" y="370078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Taxation</a:t>
          </a:r>
        </a:p>
      </cdr:txBody>
    </cdr:sp>
  </cdr:relSizeAnchor>
  <cdr:relSizeAnchor xmlns:cdr="http://schemas.openxmlformats.org/drawingml/2006/chartDrawing">
    <cdr:from>
      <cdr:x>0.11944</cdr:x>
      <cdr:y>0.29904</cdr:y>
    </cdr:from>
    <cdr:to>
      <cdr:x>0.21874</cdr:x>
      <cdr:y>0.34351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018540" y="1757680"/>
          <a:ext cx="91440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bg1"/>
              </a:solidFill>
            </a:rPr>
            <a:t>Local</a:t>
          </a:r>
          <a:r>
            <a:rPr lang="en-US" sz="1100" b="1" baseline="0">
              <a:solidFill>
                <a:schemeClr val="bg1"/>
              </a:solidFill>
            </a:rPr>
            <a:t> Receipts</a:t>
          </a:r>
          <a:endParaRPr lang="en-US" sz="1100" b="1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\cdoane\mydocs\CLD\FY%2016%20BUDGET\FY%202016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s"/>
      <sheetName val="reserve fund "/>
      <sheetName val="town meeting"/>
      <sheetName val="moderator"/>
      <sheetName val="selectmen"/>
      <sheetName val="finance"/>
      <sheetName val="dir of finance"/>
      <sheetName val="town accountant"/>
      <sheetName val="assessors"/>
      <sheetName val="town treasurer"/>
      <sheetName val="town collector"/>
      <sheetName val="town counsel"/>
      <sheetName val="data processing"/>
      <sheetName val="town clerk"/>
      <sheetName val="registrar of vo"/>
      <sheetName val="conservation"/>
      <sheetName val="soil board"/>
      <sheetName val="planning board"/>
      <sheetName val="board of appeal"/>
      <sheetName val="town buildings"/>
      <sheetName val="by_laws"/>
      <sheetName val="police departme"/>
      <sheetName val="fire department"/>
      <sheetName val="emergency medic"/>
      <sheetName val="building dept"/>
      <sheetName val="sealer weights "/>
      <sheetName val="emergency manag"/>
      <sheetName val="dog officer"/>
      <sheetName val="forestry"/>
      <sheetName val="regional school"/>
      <sheetName val="acushnet school"/>
      <sheetName val="dpw_highway"/>
      <sheetName val="gasoline"/>
      <sheetName val="snow removal"/>
      <sheetName val="street lights"/>
      <sheetName val="semass"/>
      <sheetName val="cemetery"/>
      <sheetName val="brd of health"/>
      <sheetName val="council on aging"/>
      <sheetName val="veterans"/>
      <sheetName val="library"/>
      <sheetName val="recreation"/>
      <sheetName val="park dept"/>
      <sheetName val="historical comm"/>
      <sheetName val="celebrations"/>
      <sheetName val="miscellaneous"/>
      <sheetName val="retire of debt"/>
      <sheetName val="interest"/>
      <sheetName val="pensions"/>
      <sheetName val="health insuranc"/>
      <sheetName val="liability insur"/>
      <sheetName val="workers comp"/>
      <sheetName val="unemploy comp"/>
      <sheetName val="dpw_water"/>
      <sheetName val="dpw_sewer"/>
      <sheetName val="golf ent."/>
      <sheetName val="final"/>
      <sheetName val="App. A TOTALS"/>
      <sheetName val="Operating Budget"/>
      <sheetName val="communicatios department "/>
    </sheetNames>
    <sheetDataSet>
      <sheetData sheetId="0" refreshError="1"/>
      <sheetData sheetId="1" refreshError="1"/>
      <sheetData sheetId="2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3" refreshError="1">
        <row r="1">
          <cell r="A1" t="str">
            <v>DEPARTMENT NAME</v>
          </cell>
        </row>
        <row r="11">
          <cell r="B11" t="str">
            <v>Total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17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18" refreshError="1"/>
      <sheetData sheetId="19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28" refreshError="1"/>
      <sheetData sheetId="29" refreshError="1"/>
      <sheetData sheetId="30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44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45" refreshError="1"/>
      <sheetData sheetId="46" refreshError="1"/>
      <sheetData sheetId="47" refreshError="1"/>
      <sheetData sheetId="48" refreshError="1">
        <row r="1">
          <cell r="A1" t="str">
            <v>DEPARTMENT NAME</v>
          </cell>
        </row>
        <row r="5">
          <cell r="B5" t="str">
            <v>ACCOUNT NAME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5"/>
  <sheetViews>
    <sheetView tabSelected="1" topLeftCell="A7" zoomScaleNormal="100" workbookViewId="0">
      <selection activeCell="D31" sqref="D31"/>
    </sheetView>
  </sheetViews>
  <sheetFormatPr defaultColWidth="12" defaultRowHeight="15"/>
  <cols>
    <col min="1" max="1" width="40.5703125" customWidth="1"/>
    <col min="2" max="2" width="18.5703125" customWidth="1"/>
    <col min="3" max="3" width="15" customWidth="1"/>
    <col min="4" max="4" width="22.42578125" customWidth="1"/>
    <col min="5" max="5" width="35.85546875" customWidth="1"/>
    <col min="6" max="6" width="31.28515625" customWidth="1"/>
    <col min="7" max="7" width="22.5703125" customWidth="1"/>
    <col min="8" max="8" width="17.7109375" hidden="1" customWidth="1"/>
    <col min="9" max="9" width="20.42578125" customWidth="1"/>
    <col min="10" max="10" width="22.85546875" customWidth="1"/>
    <col min="11" max="11" width="18.85546875" bestFit="1" customWidth="1"/>
    <col min="13" max="13" width="13.28515625" bestFit="1" customWidth="1"/>
  </cols>
  <sheetData>
    <row r="1" spans="1:11" ht="18">
      <c r="A1" s="20" t="s">
        <v>447</v>
      </c>
      <c r="B1" s="9"/>
      <c r="C1" s="21"/>
      <c r="D1" s="22"/>
      <c r="E1" s="23"/>
      <c r="F1" s="23"/>
      <c r="G1" s="21"/>
      <c r="H1" s="21"/>
      <c r="I1" s="21"/>
    </row>
    <row r="2" spans="1:11" ht="15.75">
      <c r="A2" s="24" t="s">
        <v>192</v>
      </c>
      <c r="B2" s="9"/>
      <c r="C2" s="113"/>
      <c r="D2" s="21"/>
      <c r="E2" s="23"/>
      <c r="F2" s="23"/>
      <c r="G2" s="21"/>
      <c r="H2" s="21"/>
      <c r="I2" s="21"/>
    </row>
    <row r="4" spans="1:11" ht="15.75">
      <c r="D4" s="25"/>
    </row>
    <row r="5" spans="1:11" ht="15.75">
      <c r="A5" s="26" t="s">
        <v>366</v>
      </c>
      <c r="B5" s="138" t="s">
        <v>419</v>
      </c>
      <c r="C5" s="139" t="s">
        <v>441</v>
      </c>
      <c r="E5" s="49"/>
      <c r="H5" t="s">
        <v>409</v>
      </c>
    </row>
    <row r="6" spans="1:11" ht="16.5" thickBot="1">
      <c r="E6" s="26" t="s">
        <v>311</v>
      </c>
      <c r="F6" s="139" t="s">
        <v>419</v>
      </c>
      <c r="G6" s="139" t="s">
        <v>441</v>
      </c>
    </row>
    <row r="7" spans="1:11" ht="15.75">
      <c r="A7" t="s">
        <v>446</v>
      </c>
      <c r="B7" s="119">
        <v>11210458</v>
      </c>
      <c r="C7" s="119">
        <v>11711401.15</v>
      </c>
      <c r="E7" s="13" t="s">
        <v>195</v>
      </c>
      <c r="F7" s="119">
        <v>197047</v>
      </c>
      <c r="G7" s="119">
        <f>103268+49006+52693</f>
        <v>204967</v>
      </c>
      <c r="H7" s="114">
        <v>197000</v>
      </c>
      <c r="J7" s="27" t="s">
        <v>196</v>
      </c>
      <c r="K7" s="28"/>
    </row>
    <row r="8" spans="1:11" ht="15.75">
      <c r="A8" t="s">
        <v>448</v>
      </c>
      <c r="B8" s="119">
        <v>62492</v>
      </c>
      <c r="C8" s="119">
        <v>0</v>
      </c>
      <c r="D8" s="119"/>
      <c r="E8" s="13" t="s">
        <v>197</v>
      </c>
      <c r="F8" s="119">
        <v>100000</v>
      </c>
      <c r="G8" s="119">
        <v>100000</v>
      </c>
      <c r="H8" s="115">
        <v>100000</v>
      </c>
      <c r="J8" s="28"/>
      <c r="K8" s="28"/>
    </row>
    <row r="9" spans="1:11" ht="15.75">
      <c r="A9" t="s">
        <v>206</v>
      </c>
      <c r="B9" s="119">
        <f>B7*0.025</f>
        <v>280261.45</v>
      </c>
      <c r="C9" s="119">
        <f>C7*0.025</f>
        <v>292785.02875</v>
      </c>
      <c r="E9" s="13" t="s">
        <v>190</v>
      </c>
      <c r="F9" s="136">
        <v>16493</v>
      </c>
      <c r="G9" s="136">
        <f>C18</f>
        <v>16449</v>
      </c>
      <c r="H9" s="115">
        <v>16493</v>
      </c>
      <c r="J9" s="29"/>
      <c r="K9" s="28"/>
    </row>
    <row r="10" spans="1:11" ht="15.75">
      <c r="A10" t="s">
        <v>207</v>
      </c>
      <c r="B10" s="119">
        <v>160000</v>
      </c>
      <c r="C10" s="119">
        <v>160000</v>
      </c>
      <c r="E10" s="13" t="s">
        <v>404</v>
      </c>
      <c r="F10" s="119">
        <v>0</v>
      </c>
      <c r="G10" s="119">
        <v>0</v>
      </c>
      <c r="H10" s="116">
        <v>0</v>
      </c>
      <c r="J10" s="28"/>
      <c r="K10" s="31"/>
    </row>
    <row r="11" spans="1:11" ht="15.75">
      <c r="A11" t="s">
        <v>208</v>
      </c>
      <c r="B11" s="136">
        <f>760687+264963+9975</f>
        <v>1035625</v>
      </c>
      <c r="C11" s="136">
        <f>G18</f>
        <v>1268563.5</v>
      </c>
      <c r="D11" s="119"/>
      <c r="E11" s="13" t="s">
        <v>403</v>
      </c>
      <c r="F11" s="167">
        <v>709006</v>
      </c>
      <c r="G11" s="167">
        <f>C19-78407</f>
        <v>734585</v>
      </c>
      <c r="H11" s="121">
        <v>709006</v>
      </c>
      <c r="J11" s="28"/>
      <c r="K11" s="32"/>
    </row>
    <row r="12" spans="1:11" ht="18">
      <c r="A12" t="s">
        <v>438</v>
      </c>
      <c r="B12" s="120">
        <v>4151920</v>
      </c>
      <c r="C12" s="176">
        <v>4222848</v>
      </c>
      <c r="F12" s="119">
        <f>SUM(F7:F11)</f>
        <v>1022546</v>
      </c>
      <c r="G12" s="119">
        <f>SUM(G7:G11)</f>
        <v>1056001</v>
      </c>
      <c r="H12" s="43">
        <f>SUM(H7:H11)</f>
        <v>1022499</v>
      </c>
      <c r="J12" s="33"/>
      <c r="K12" s="34"/>
    </row>
    <row r="13" spans="1:11" ht="18">
      <c r="A13" t="s">
        <v>397</v>
      </c>
      <c r="B13" s="120">
        <v>0</v>
      </c>
      <c r="C13" s="176">
        <v>0</v>
      </c>
      <c r="E13" s="30"/>
      <c r="I13" s="43"/>
      <c r="J13" s="33"/>
      <c r="K13" s="34"/>
    </row>
    <row r="14" spans="1:11" ht="18">
      <c r="A14" t="s">
        <v>475</v>
      </c>
      <c r="B14" s="124">
        <v>727374</v>
      </c>
      <c r="C14" s="176">
        <v>749194</v>
      </c>
      <c r="E14" s="30"/>
      <c r="I14" s="43"/>
      <c r="J14" s="33"/>
      <c r="K14" s="34"/>
    </row>
    <row r="15" spans="1:11" ht="18">
      <c r="A15" t="s">
        <v>189</v>
      </c>
      <c r="B15" s="120">
        <v>23650</v>
      </c>
      <c r="C15" s="176">
        <v>22214</v>
      </c>
      <c r="E15" s="30"/>
      <c r="I15" s="43"/>
      <c r="J15" s="33"/>
      <c r="K15" s="34"/>
    </row>
    <row r="16" spans="1:11" ht="18">
      <c r="A16" t="s">
        <v>324</v>
      </c>
      <c r="B16" s="120">
        <v>33362</v>
      </c>
      <c r="C16" s="176">
        <v>32948</v>
      </c>
      <c r="E16" s="26" t="s">
        <v>194</v>
      </c>
      <c r="F16" s="140" t="s">
        <v>419</v>
      </c>
      <c r="G16" s="140" t="s">
        <v>441</v>
      </c>
      <c r="I16" s="43"/>
      <c r="J16" s="33"/>
      <c r="K16" s="34"/>
    </row>
    <row r="17" spans="1:13" ht="18">
      <c r="A17" t="s">
        <v>325</v>
      </c>
      <c r="B17" s="123">
        <v>59262</v>
      </c>
      <c r="C17" s="177">
        <v>60685</v>
      </c>
      <c r="E17" s="13" t="s">
        <v>198</v>
      </c>
      <c r="F17" s="141">
        <f>+'APPENDIX A FOR INPUT'!G13+'APPENDIX A FOR INPUT'!G19+'APPENDIX A FOR INPUT'!G33+'APPENDIX A FOR INPUT'!G42+'APPENDIX A FOR INPUT'!G56+'APPENDIX A FOR INPUT'!G76+'APPENDIX A FOR INPUT'!G89+'APPENDIX A FOR INPUT'!G100+'APPENDIX A FOR INPUT'!G106+'APPENDIX A FOR INPUT'!G121+'APPENDIX A FOR INPUT'!G136+'APPENDIX A FOR INPUT'!G149+'APPENDIX A FOR INPUT'!G154+'APPENDIX A FOR INPUT'!G165+'APPENDIX A FOR INPUT'!G189+'APPENDIX A FOR INPUT'!G195+'APPENDIX A FOR INPUT'!G200+'APPENDIX A FOR INPUT'!G205+'APPENDIX A FOR INPUT'!G211+'APPENDIX A FOR INPUT'!G217+'APPENDIX A FOR INPUT'!G262+'APPENDIX A FOR INPUT'!G286+'APPENDIX A FOR INPUT'!G311+'APPENDIX A FOR INPUT'!G328+'APPENDIX A FOR INPUT'!G348+'APPENDIX A FOR INPUT'!G362+'APPENDIX A FOR INPUT'!G370+'APPENDIX A FOR INPUT'!G379+'APPENDIX A FOR INPUT'!G433+'APPENDIX A FOR INPUT'!G439+'APPENDIX A FOR INPUT'!G444+'APPENDIX A FOR INPUT'!G454+'APPENDIX A FOR INPUT'!G460+'APPENDIX A FOR INPUT'!G475+'APPENDIX A FOR INPUT'!G485+'APPENDIX A FOR INPUT'!G509+'APPENDIX A FOR INPUT'!G521+'APPENDIX A FOR INPUT'!G529</f>
        <v>7031165.5099999998</v>
      </c>
      <c r="G17" s="141">
        <f>+'APPENDIX A FOR INPUT'!J13+'APPENDIX A FOR INPUT'!J19+'APPENDIX A FOR INPUT'!J33+'APPENDIX A FOR INPUT'!J42+'APPENDIX A FOR INPUT'!J56+'APPENDIX A FOR INPUT'!J76+'APPENDIX A FOR INPUT'!J89+'APPENDIX A FOR INPUT'!J100+'APPENDIX A FOR INPUT'!J106+'APPENDIX A FOR INPUT'!J121+'APPENDIX A FOR INPUT'!J136+'APPENDIX A FOR INPUT'!J149+'APPENDIX A FOR INPUT'!J154+'APPENDIX A FOR INPUT'!J165+'APPENDIX A FOR INPUT'!J189+'APPENDIX A FOR INPUT'!J195+'APPENDIX A FOR INPUT'!J200+'APPENDIX A FOR INPUT'!J205+'APPENDIX A FOR INPUT'!J211+'APPENDIX A FOR INPUT'!J217+'APPENDIX A FOR INPUT'!J262+'APPENDIX A FOR INPUT'!J286+'APPENDIX A FOR INPUT'!J311+'APPENDIX A FOR INPUT'!J328+'APPENDIX A FOR INPUT'!J348+'APPENDIX A FOR INPUT'!J362+'APPENDIX A FOR INPUT'!J370+'APPENDIX A FOR INPUT'!J379+'APPENDIX A FOR INPUT'!J433+'APPENDIX A FOR INPUT'!J439+'APPENDIX A FOR INPUT'!J444+'APPENDIX A FOR INPUT'!J454+'APPENDIX A FOR INPUT'!J460+'APPENDIX A FOR INPUT'!J475+'APPENDIX A FOR INPUT'!J485+'APPENDIX A FOR INPUT'!J509+'APPENDIX A FOR INPUT'!J521+'APPENDIX A FOR INPUT'!J529</f>
        <v>7351801.4765000008</v>
      </c>
      <c r="I17" s="119"/>
      <c r="J17" s="202"/>
      <c r="K17" s="34"/>
      <c r="L17" s="205"/>
    </row>
    <row r="18" spans="1:13" ht="15.75">
      <c r="A18" t="s">
        <v>326</v>
      </c>
      <c r="B18" s="136">
        <v>16493</v>
      </c>
      <c r="C18" s="178">
        <v>16449</v>
      </c>
      <c r="E18" s="13" t="s">
        <v>199</v>
      </c>
      <c r="F18" s="143">
        <f>'APPENDIX A FOR INPUT'!G536+'APPENDIX A FOR INPUT'!G543-('APPENDIX A FOR INPUT'!G534+'APPENDIX A FOR INPUT'!G541)</f>
        <v>1035625</v>
      </c>
      <c r="G18" s="143">
        <f>'APPENDIX A FOR INPUT'!J536+'APPENDIX A FOR INPUT'!J543</f>
        <v>1268563.5</v>
      </c>
      <c r="I18" s="119"/>
      <c r="J18" s="202"/>
      <c r="K18" s="28"/>
    </row>
    <row r="19" spans="1:13" ht="15.75">
      <c r="A19" t="s">
        <v>296</v>
      </c>
      <c r="B19" s="119">
        <v>768825</v>
      </c>
      <c r="C19" s="178">
        <v>812992</v>
      </c>
      <c r="E19" s="13" t="s">
        <v>200</v>
      </c>
      <c r="F19" s="142">
        <f>+'APPENDIX A FOR INPUT'!G382+'APPENDIX A FOR INPUT'!G383+'APPENDIX A FOR INPUT'!G385+'APPENDIX A FOR INPUT'!G387+'APPENDIX A FOR INPUT'!G388+'APPENDIX A FOR INPUT'!G384</f>
        <v>9739985</v>
      </c>
      <c r="G19" s="142">
        <f>+'APPENDIX A FOR INPUT'!J382+'APPENDIX A FOR INPUT'!J383+'APPENDIX A FOR INPUT'!J385+'APPENDIX A FOR INPUT'!J387+'APPENDIX A FOR INPUT'!J388+'APPENDIX A FOR INPUT'!J384</f>
        <v>10209258.214</v>
      </c>
      <c r="I19" s="201"/>
      <c r="J19" s="202"/>
      <c r="K19" s="28"/>
    </row>
    <row r="20" spans="1:13" ht="15.75">
      <c r="A20" t="s">
        <v>201</v>
      </c>
      <c r="B20" s="136">
        <v>850000</v>
      </c>
      <c r="C20" s="136">
        <v>875000</v>
      </c>
      <c r="E20" s="13" t="s">
        <v>328</v>
      </c>
      <c r="F20" s="142">
        <f>+'APPENDIX A FOR INPUT'!G386</f>
        <v>617680</v>
      </c>
      <c r="G20" s="142">
        <f>'APPENDIX A FOR INPUT'!J386</f>
        <v>636324</v>
      </c>
      <c r="I20" s="119"/>
      <c r="J20" s="202"/>
      <c r="K20" s="28"/>
    </row>
    <row r="21" spans="1:13" ht="15.75">
      <c r="A21" t="s">
        <v>331</v>
      </c>
      <c r="B21" s="123">
        <v>158970</v>
      </c>
      <c r="C21" s="123">
        <v>158970</v>
      </c>
      <c r="E21" s="13" t="s">
        <v>202</v>
      </c>
      <c r="F21" s="142">
        <f>+'APPENDIX A FOR INPUT'!G390+'APPENDIX A FOR INPUT'!G534+'APPENDIX A FOR INPUT'!G541</f>
        <v>1272974</v>
      </c>
      <c r="G21" s="142">
        <f>+'APPENDIX A FOR INPUT'!J390</f>
        <v>1332200</v>
      </c>
      <c r="I21" s="201"/>
      <c r="J21" s="202"/>
      <c r="K21" s="28"/>
    </row>
    <row r="22" spans="1:13" ht="15.75">
      <c r="A22" t="s">
        <v>297</v>
      </c>
      <c r="B22" s="120">
        <v>30000</v>
      </c>
      <c r="C22" s="120">
        <v>35000</v>
      </c>
      <c r="E22" s="13" t="s">
        <v>304</v>
      </c>
      <c r="F22" s="142">
        <f>'APPENDIX A FOR INPUT'!G389</f>
        <v>2779717</v>
      </c>
      <c r="G22" s="142">
        <f>'APPENDIX A FOR INPUT'!J389</f>
        <v>2747558</v>
      </c>
      <c r="I22" s="119"/>
      <c r="J22" s="202"/>
      <c r="K22" s="28"/>
    </row>
    <row r="23" spans="1:13" ht="15.75">
      <c r="A23" t="s">
        <v>298</v>
      </c>
      <c r="B23" s="120">
        <v>55000</v>
      </c>
      <c r="C23" s="120">
        <v>60000</v>
      </c>
      <c r="D23" s="119"/>
      <c r="E23" s="13" t="s">
        <v>379</v>
      </c>
      <c r="F23" s="142">
        <f>'APPENDIX A FOR INPUT'!G392</f>
        <v>246504</v>
      </c>
      <c r="G23" s="142">
        <f>'APPENDIX A FOR INPUT'!J392</f>
        <v>79040</v>
      </c>
      <c r="I23" s="119"/>
      <c r="J23" s="202"/>
      <c r="K23" s="28"/>
    </row>
    <row r="24" spans="1:13" ht="18">
      <c r="A24" t="s">
        <v>299</v>
      </c>
      <c r="B24" s="124">
        <v>80000</v>
      </c>
      <c r="C24" s="124">
        <v>83000</v>
      </c>
      <c r="E24" s="13" t="s">
        <v>312</v>
      </c>
      <c r="F24" s="117">
        <f>'APPENDIX A FOR INPUT'!G391</f>
        <v>153547</v>
      </c>
      <c r="G24" s="117">
        <f>'APPENDIX A FOR INPUT'!J391</f>
        <v>139953.24</v>
      </c>
      <c r="I24" s="119"/>
      <c r="J24" s="202"/>
      <c r="K24" s="28"/>
    </row>
    <row r="25" spans="1:13" ht="18">
      <c r="A25" t="s">
        <v>303</v>
      </c>
      <c r="B25" s="120">
        <v>50000</v>
      </c>
      <c r="C25" s="120">
        <v>50000</v>
      </c>
      <c r="E25" s="13"/>
      <c r="F25" s="118">
        <f>SUM(F17:F24)</f>
        <v>22877197.509999998</v>
      </c>
      <c r="G25" s="118">
        <f>SUM(G17:G24)</f>
        <v>23764698.430499997</v>
      </c>
      <c r="H25" s="57" t="s">
        <v>363</v>
      </c>
      <c r="I25" s="119"/>
      <c r="J25" s="202"/>
      <c r="K25" s="119"/>
      <c r="L25" s="203"/>
    </row>
    <row r="26" spans="1:13">
      <c r="A26" t="s">
        <v>300</v>
      </c>
      <c r="B26" s="120">
        <v>125000</v>
      </c>
      <c r="C26" s="120">
        <v>125000</v>
      </c>
      <c r="E26" s="13"/>
      <c r="F26" s="144"/>
      <c r="G26" s="144"/>
      <c r="H26" s="56" t="e">
        <f>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INPUT'!#REF!+'APPENDIX A FOR INPUT'!#REF!</f>
        <v>#REF!</v>
      </c>
    </row>
    <row r="27" spans="1:13" ht="15.75">
      <c r="A27" t="s">
        <v>301</v>
      </c>
      <c r="B27" s="120">
        <v>10750</v>
      </c>
      <c r="C27" s="120">
        <v>10750</v>
      </c>
      <c r="E27" s="13" t="s">
        <v>193</v>
      </c>
      <c r="F27" s="141">
        <f>+B35</f>
        <v>23929235.449999999</v>
      </c>
      <c r="G27" s="141">
        <f>+C35</f>
        <v>24820699.678750001</v>
      </c>
      <c r="H27" s="56" t="e">
        <f>+'APPENDIX A FOR INPUT'!#REF!+'APPENDIX A FOR INPUT'!#REF!</f>
        <v>#REF!</v>
      </c>
      <c r="J27" s="60"/>
      <c r="L27" s="28"/>
      <c r="M27" s="28"/>
    </row>
    <row r="28" spans="1:13" ht="15.75">
      <c r="A28" t="s">
        <v>302</v>
      </c>
      <c r="B28" s="124">
        <v>10000</v>
      </c>
      <c r="C28" s="124">
        <v>10000</v>
      </c>
      <c r="D28" s="119"/>
      <c r="E28" s="13" t="s">
        <v>194</v>
      </c>
      <c r="F28" s="120">
        <f>+F25</f>
        <v>22877197.509999998</v>
      </c>
      <c r="G28" s="120">
        <f>+G25</f>
        <v>23764698.430499997</v>
      </c>
      <c r="H28" s="56" t="e">
        <f>+'APPENDIX A FOR INPUT'!#REF!+'APPENDIX A FOR INPUT'!#REF!+'APPENDIX A FOR INPUT'!#REF!+'APPENDIX A FOR INPUT'!#REF!+'APPENDIX A FOR INPUT'!#REF!</f>
        <v>#REF!</v>
      </c>
      <c r="L28" s="28"/>
      <c r="M28" s="28"/>
    </row>
    <row r="29" spans="1:13" ht="16.5" thickBot="1">
      <c r="A29" t="s">
        <v>203</v>
      </c>
      <c r="B29" s="136">
        <f>575000+109500</f>
        <v>684500</v>
      </c>
      <c r="C29" s="136">
        <v>450000</v>
      </c>
      <c r="D29" s="119"/>
      <c r="E29" s="13" t="s">
        <v>311</v>
      </c>
      <c r="F29" s="145">
        <f>F12</f>
        <v>1022546</v>
      </c>
      <c r="G29" s="145">
        <f>G12</f>
        <v>1056001</v>
      </c>
      <c r="H29" s="56" t="e">
        <f>+'APPENDIX A FOR INPUT'!#REF!</f>
        <v>#REF!</v>
      </c>
      <c r="L29" s="28"/>
      <c r="M29" s="28"/>
    </row>
    <row r="30" spans="1:13" ht="16.5" thickTop="1">
      <c r="A30" t="s">
        <v>214</v>
      </c>
      <c r="B30" s="123">
        <v>100000</v>
      </c>
      <c r="C30" s="135">
        <v>0</v>
      </c>
      <c r="E30" s="122" t="s">
        <v>204</v>
      </c>
      <c r="F30" s="170">
        <f>F27-F28-F29</f>
        <v>29491.940000001341</v>
      </c>
      <c r="G30" s="170">
        <f>G27-G28-G29</f>
        <v>0.24825000390410423</v>
      </c>
      <c r="H30" s="171" t="e">
        <f>+'APPENDIX A FOR INPUT'!#REF!</f>
        <v>#REF!</v>
      </c>
      <c r="I30" s="172"/>
      <c r="L30" s="28"/>
      <c r="M30" s="28"/>
    </row>
    <row r="31" spans="1:13" ht="15.75">
      <c r="A31" t="s">
        <v>295</v>
      </c>
      <c r="B31" s="135">
        <v>2779717</v>
      </c>
      <c r="C31" s="135">
        <f>'APPENDIX A FOR INPUT'!J389</f>
        <v>2747558</v>
      </c>
      <c r="D31" s="119"/>
      <c r="H31" s="56" t="e">
        <f>+'APPENDIX A FOR INPUT'!#REF!+'APPENDIX A FOR INPUT'!#REF!</f>
        <v>#REF!</v>
      </c>
      <c r="I31" s="55"/>
      <c r="J31" s="119"/>
      <c r="L31" s="28"/>
      <c r="M31" s="28"/>
    </row>
    <row r="32" spans="1:13" ht="15.75">
      <c r="A32" t="s">
        <v>431</v>
      </c>
      <c r="B32" s="135">
        <f>252453+4381</f>
        <v>256834</v>
      </c>
      <c r="C32" s="136">
        <v>735342</v>
      </c>
      <c r="H32" s="56"/>
      <c r="I32" s="71"/>
      <c r="L32" s="28"/>
      <c r="M32" s="28"/>
    </row>
    <row r="33" spans="1:13" ht="18">
      <c r="A33" s="172" t="s">
        <v>476</v>
      </c>
      <c r="B33" s="136">
        <f>181000+27742</f>
        <v>208742</v>
      </c>
      <c r="C33" s="136">
        <v>0</v>
      </c>
      <c r="H33" s="74" t="e">
        <f>+'APPENDIX A FOR INPUT'!#REF!</f>
        <v>#REF!</v>
      </c>
      <c r="L33" s="28"/>
      <c r="M33" s="28"/>
    </row>
    <row r="34" spans="1:13" ht="16.5" thickBot="1">
      <c r="A34" s="198" t="s">
        <v>459</v>
      </c>
      <c r="B34" s="199">
        <v>0</v>
      </c>
      <c r="C34" s="227">
        <v>130000</v>
      </c>
      <c r="J34" s="28"/>
      <c r="K34" s="28"/>
      <c r="L34" s="28"/>
      <c r="M34" s="28"/>
    </row>
    <row r="35" spans="1:13" ht="17.25" thickTop="1" thickBot="1">
      <c r="B35" s="137">
        <f>SUM(B7:B34)</f>
        <v>23929235.449999999</v>
      </c>
      <c r="C35" s="137">
        <f>SUM(C7:C34)</f>
        <v>24820699.678750001</v>
      </c>
      <c r="E35" s="119"/>
      <c r="J35" s="28"/>
      <c r="K35" s="28"/>
      <c r="L35" s="28"/>
      <c r="M35" s="28"/>
    </row>
    <row r="36" spans="1:13" ht="16.5" thickTop="1">
      <c r="D36" s="119"/>
      <c r="F36" s="104"/>
      <c r="G36" s="105"/>
      <c r="J36" s="28"/>
      <c r="K36" s="28"/>
      <c r="L36" s="28"/>
      <c r="M36" s="28"/>
    </row>
    <row r="37" spans="1:13" ht="15.75">
      <c r="C37" s="45" t="s">
        <v>474</v>
      </c>
      <c r="D37" s="100"/>
      <c r="K37" s="28"/>
      <c r="L37" s="28"/>
      <c r="M37" s="28"/>
    </row>
    <row r="38" spans="1:13" ht="15.75">
      <c r="A38" s="237" t="s">
        <v>532</v>
      </c>
      <c r="B38" s="261">
        <v>856779.8</v>
      </c>
      <c r="C38" s="130">
        <v>6801801</v>
      </c>
      <c r="D38" s="4" t="s">
        <v>519</v>
      </c>
      <c r="F38" s="251" t="s">
        <v>443</v>
      </c>
      <c r="G38" s="252">
        <f>C35-(C32+C33+C34)</f>
        <v>23955357.678750001</v>
      </c>
      <c r="H38" s="28"/>
      <c r="I38" s="52"/>
      <c r="J38" s="28"/>
      <c r="K38" s="28"/>
      <c r="L38" s="28"/>
      <c r="M38" s="28"/>
    </row>
    <row r="39" spans="1:13" ht="15.75">
      <c r="A39" s="239" t="s">
        <v>521</v>
      </c>
      <c r="B39" s="262">
        <v>-33838.050000000003</v>
      </c>
      <c r="C39" s="130">
        <v>450000</v>
      </c>
      <c r="D39" s="4" t="s">
        <v>450</v>
      </c>
      <c r="F39" s="251" t="s">
        <v>414</v>
      </c>
      <c r="G39" s="252">
        <f>B35-B32-B33</f>
        <v>23463659.449999999</v>
      </c>
      <c r="H39" s="51"/>
      <c r="I39" s="42"/>
      <c r="J39" s="25"/>
      <c r="K39" s="28"/>
      <c r="L39" s="28"/>
      <c r="M39" s="28"/>
    </row>
    <row r="40" spans="1:13" ht="15.75">
      <c r="A40" s="239" t="s">
        <v>522</v>
      </c>
      <c r="B40" s="262">
        <f>-(4200*3)</f>
        <v>-12600</v>
      </c>
      <c r="C40" s="245">
        <f>SUM(C38:C39)</f>
        <v>7251801</v>
      </c>
      <c r="D40" s="84" t="s">
        <v>524</v>
      </c>
      <c r="F40" s="251" t="s">
        <v>406</v>
      </c>
      <c r="G40" s="252">
        <f>G38-G39</f>
        <v>491698.22875000164</v>
      </c>
      <c r="H40" s="73">
        <f>+B35</f>
        <v>23929235.449999999</v>
      </c>
      <c r="I40" s="50"/>
      <c r="J40" s="25"/>
      <c r="K40" s="28"/>
      <c r="L40" s="28"/>
      <c r="M40" s="28"/>
    </row>
    <row r="41" spans="1:13" ht="15.75">
      <c r="A41" s="239" t="s">
        <v>523</v>
      </c>
      <c r="B41" s="240">
        <v>-75000</v>
      </c>
      <c r="C41" s="225"/>
      <c r="D41" s="224"/>
      <c r="F41" s="251" t="s">
        <v>415</v>
      </c>
      <c r="G41" s="253">
        <f>(G38/G39)-1</f>
        <v>2.095573496528913E-2</v>
      </c>
      <c r="H41" s="56" t="e">
        <f>+#REF!</f>
        <v>#REF!</v>
      </c>
      <c r="I41" s="38"/>
      <c r="J41" s="28"/>
      <c r="K41" s="36"/>
      <c r="L41" s="28"/>
      <c r="M41" s="28"/>
    </row>
    <row r="42" spans="1:13" ht="15.75">
      <c r="A42" s="239" t="s">
        <v>535</v>
      </c>
      <c r="B42" s="240">
        <v>-735342</v>
      </c>
      <c r="C42" s="235">
        <v>1268564</v>
      </c>
      <c r="D42" s="229" t="s">
        <v>531</v>
      </c>
      <c r="G42" s="125"/>
      <c r="H42" s="73">
        <f>+F12</f>
        <v>1022546</v>
      </c>
      <c r="J42" s="35"/>
      <c r="L42" s="37"/>
    </row>
    <row r="43" spans="1:13" ht="15.75">
      <c r="A43" s="236" t="s">
        <v>534</v>
      </c>
      <c r="B43" s="238">
        <f>SUM(B38:B42)</f>
        <v>-0.25</v>
      </c>
      <c r="C43" s="228"/>
      <c r="D43" s="224"/>
      <c r="H43" s="44" t="e">
        <f>H40-H41-H42</f>
        <v>#REF!</v>
      </c>
      <c r="J43" s="38"/>
      <c r="L43" s="39"/>
    </row>
    <row r="44" spans="1:13" ht="15.75">
      <c r="C44" s="130">
        <v>735342</v>
      </c>
      <c r="D44" s="4" t="s">
        <v>520</v>
      </c>
      <c r="J44" s="38"/>
      <c r="K44" s="40"/>
      <c r="L44" s="41"/>
      <c r="M44" s="13"/>
    </row>
    <row r="45" spans="1:13" ht="15.75">
      <c r="A45" s="84" t="s">
        <v>533</v>
      </c>
      <c r="B45" s="259">
        <v>138673</v>
      </c>
      <c r="C45" s="130">
        <v>11552393</v>
      </c>
      <c r="D45" s="4" t="s">
        <v>519</v>
      </c>
      <c r="F45" s="251" t="s">
        <v>442</v>
      </c>
      <c r="G45" s="254">
        <f>G28+G29</f>
        <v>24820699.430499997</v>
      </c>
      <c r="J45" s="38"/>
      <c r="K45" s="40"/>
      <c r="L45" s="41"/>
      <c r="M45" s="13"/>
    </row>
    <row r="46" spans="1:13" ht="15.75">
      <c r="A46" s="241" t="s">
        <v>471</v>
      </c>
      <c r="B46" s="256">
        <v>-10000</v>
      </c>
      <c r="C46" s="245">
        <f>SUM(C44:C45)</f>
        <v>12287735</v>
      </c>
      <c r="D46" s="84" t="s">
        <v>529</v>
      </c>
      <c r="F46" s="251" t="s">
        <v>416</v>
      </c>
      <c r="G46" s="254">
        <f>'APPENDIX A FOR INPUT'!G547+F12</f>
        <v>23899743.509999998</v>
      </c>
      <c r="I46" s="106"/>
      <c r="J46" s="38"/>
      <c r="K46" s="40"/>
      <c r="L46" s="41"/>
      <c r="M46" s="13"/>
    </row>
    <row r="47" spans="1:13" ht="15.75">
      <c r="A47" s="242" t="s">
        <v>472</v>
      </c>
      <c r="B47" s="242">
        <v>-22000</v>
      </c>
      <c r="C47" s="225"/>
      <c r="D47" s="224"/>
      <c r="F47" s="251" t="s">
        <v>417</v>
      </c>
      <c r="G47" s="130">
        <f>G45-G46</f>
        <v>920955.92049999908</v>
      </c>
      <c r="J47" s="38"/>
      <c r="K47" s="40"/>
      <c r="L47" s="41"/>
      <c r="M47" s="13"/>
    </row>
    <row r="48" spans="1:13" ht="15.75">
      <c r="A48" s="242" t="s">
        <v>473</v>
      </c>
      <c r="B48" s="256">
        <v>-79984</v>
      </c>
      <c r="C48" s="130">
        <v>2747558</v>
      </c>
      <c r="D48" s="4" t="s">
        <v>526</v>
      </c>
      <c r="F48" s="251" t="s">
        <v>418</v>
      </c>
      <c r="G48" s="255">
        <f>(G45/G46)-1</f>
        <v>3.8534134063600289E-2</v>
      </c>
      <c r="J48" s="38"/>
      <c r="K48" s="40"/>
      <c r="L48" s="41"/>
      <c r="M48" s="13"/>
    </row>
    <row r="49" spans="1:13" ht="15.75">
      <c r="A49" s="226" t="s">
        <v>534</v>
      </c>
      <c r="B49" s="257">
        <f ca="1">SUM(B45:B49)</f>
        <v>26689</v>
      </c>
      <c r="C49" s="130">
        <v>79040</v>
      </c>
      <c r="D49" s="4" t="s">
        <v>519</v>
      </c>
      <c r="K49" s="40"/>
      <c r="L49" s="41"/>
      <c r="M49" s="13"/>
    </row>
    <row r="50" spans="1:13" ht="15.75">
      <c r="C50" s="245">
        <f>SUM(C48:C49)</f>
        <v>2826598</v>
      </c>
      <c r="D50" s="84" t="s">
        <v>530</v>
      </c>
      <c r="K50" s="40"/>
      <c r="L50" s="41"/>
      <c r="M50" s="13"/>
    </row>
    <row r="51" spans="1:13">
      <c r="B51" s="53"/>
      <c r="C51" s="225"/>
      <c r="D51" s="224"/>
    </row>
    <row r="52" spans="1:13">
      <c r="B52" s="53"/>
      <c r="C52" s="230">
        <f>SUM(C40+C42+C46+C50)</f>
        <v>23634698</v>
      </c>
      <c r="D52" s="231" t="s">
        <v>525</v>
      </c>
    </row>
    <row r="53" spans="1:13">
      <c r="A53" s="208"/>
      <c r="B53" s="210"/>
    </row>
    <row r="54" spans="1:13">
      <c r="A54" s="208"/>
      <c r="B54" s="211"/>
      <c r="D54" s="186"/>
    </row>
    <row r="55" spans="1:13">
      <c r="A55" s="209"/>
      <c r="B55" s="212"/>
      <c r="D55" s="119"/>
    </row>
    <row r="57" spans="1:13">
      <c r="B57" s="53"/>
    </row>
    <row r="58" spans="1:13">
      <c r="B58" s="53"/>
    </row>
    <row r="59" spans="1:13">
      <c r="B59" s="53"/>
    </row>
    <row r="60" spans="1:13">
      <c r="B60" s="53"/>
    </row>
    <row r="61" spans="1:13">
      <c r="B61" s="53"/>
    </row>
    <row r="62" spans="1:13">
      <c r="B62" s="53"/>
    </row>
    <row r="63" spans="1:13" ht="15.75">
      <c r="A63" s="25"/>
      <c r="B63" s="54"/>
    </row>
    <row r="64" spans="1:13">
      <c r="E64" s="223"/>
    </row>
    <row r="453" spans="1:1">
      <c r="A453" t="s">
        <v>543</v>
      </c>
    </row>
    <row r="467" spans="2:4">
      <c r="B467" s="249" t="s">
        <v>541</v>
      </c>
    </row>
    <row r="472" spans="2:4">
      <c r="B472" s="249" t="s">
        <v>544</v>
      </c>
    </row>
    <row r="473" spans="2:4">
      <c r="B473" s="248" t="s">
        <v>545</v>
      </c>
      <c r="D473" s="250">
        <f>D461</f>
        <v>0</v>
      </c>
    </row>
    <row r="474" spans="2:4">
      <c r="B474" s="248" t="s">
        <v>538</v>
      </c>
      <c r="D474" s="250">
        <f>D464</f>
        <v>0</v>
      </c>
    </row>
    <row r="475" spans="2:4">
      <c r="B475" s="248" t="s">
        <v>536</v>
      </c>
      <c r="D475" s="250">
        <f>SUM(D473:D474)</f>
        <v>0</v>
      </c>
    </row>
  </sheetData>
  <printOptions horizontalCentered="1"/>
  <pageMargins left="0.25" right="0.25" top="0.75" bottom="0.75" header="0.3" footer="0.3"/>
  <pageSetup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W664"/>
  <sheetViews>
    <sheetView zoomScale="85" zoomScaleNormal="85" workbookViewId="0">
      <pane ySplit="8" topLeftCell="A290" activePane="bottomLeft" state="frozen"/>
      <selection activeCell="G25" sqref="G25"/>
      <selection pane="bottomLeft" activeCell="K298" sqref="K298"/>
    </sheetView>
  </sheetViews>
  <sheetFormatPr defaultRowHeight="15"/>
  <cols>
    <col min="1" max="1" width="15.7109375" bestFit="1" customWidth="1"/>
    <col min="2" max="2" width="13.7109375" bestFit="1" customWidth="1"/>
    <col min="3" max="3" width="31.7109375" style="9" bestFit="1" customWidth="1"/>
    <col min="4" max="4" width="39.42578125" customWidth="1"/>
    <col min="5" max="5" width="14.85546875" style="93" customWidth="1"/>
    <col min="6" max="7" width="14.85546875" style="82" customWidth="1"/>
    <col min="8" max="8" width="10.85546875" customWidth="1"/>
    <col min="9" max="9" width="11.85546875" style="2" bestFit="1" customWidth="1"/>
    <col min="10" max="10" width="19.28515625" bestFit="1" customWidth="1"/>
    <col min="11" max="11" width="36.42578125" customWidth="1"/>
    <col min="12" max="12" width="19.7109375" customWidth="1"/>
    <col min="14" max="14" width="12.5703125" bestFit="1" customWidth="1"/>
  </cols>
  <sheetData>
    <row r="1" spans="1:23" s="3" customFormat="1" ht="20.25">
      <c r="B1" s="267" t="s">
        <v>445</v>
      </c>
      <c r="C1" s="267"/>
      <c r="D1" s="267"/>
      <c r="E1" s="267"/>
      <c r="F1" s="267"/>
      <c r="G1" s="267"/>
      <c r="H1" s="267"/>
      <c r="I1" s="267"/>
      <c r="J1" s="267"/>
    </row>
    <row r="7" spans="1:23">
      <c r="E7" s="94" t="s">
        <v>386</v>
      </c>
      <c r="F7" s="97" t="s">
        <v>399</v>
      </c>
      <c r="G7" s="97" t="s">
        <v>419</v>
      </c>
      <c r="J7" s="1" t="s">
        <v>177</v>
      </c>
    </row>
    <row r="8" spans="1:23">
      <c r="B8" s="1" t="s">
        <v>182</v>
      </c>
      <c r="C8" s="45" t="s">
        <v>181</v>
      </c>
      <c r="D8" s="1" t="s">
        <v>183</v>
      </c>
      <c r="E8" s="94" t="s">
        <v>176</v>
      </c>
      <c r="F8" s="97" t="s">
        <v>410</v>
      </c>
      <c r="G8" s="97" t="s">
        <v>410</v>
      </c>
      <c r="H8" s="1" t="s">
        <v>174</v>
      </c>
      <c r="I8" s="99" t="s">
        <v>389</v>
      </c>
      <c r="J8" s="1" t="s">
        <v>440</v>
      </c>
      <c r="K8" s="173" t="s">
        <v>444</v>
      </c>
    </row>
    <row r="9" spans="1:23" s="4" customFormat="1">
      <c r="C9" s="47"/>
      <c r="E9" s="101"/>
      <c r="F9" s="98"/>
      <c r="G9" s="98"/>
      <c r="H9" s="77"/>
      <c r="I9" s="79"/>
    </row>
    <row r="10" spans="1:23" s="6" customFormat="1">
      <c r="A10" s="4"/>
      <c r="B10" s="6">
        <v>132</v>
      </c>
      <c r="C10" s="46" t="s">
        <v>0</v>
      </c>
      <c r="E10" s="102"/>
      <c r="F10" s="96"/>
      <c r="G10" s="168"/>
      <c r="H10" s="108"/>
      <c r="I10" s="78"/>
      <c r="J10" s="59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1:23" s="4" customFormat="1">
      <c r="B11" s="4">
        <v>132</v>
      </c>
      <c r="C11" s="47">
        <v>5705780</v>
      </c>
      <c r="D11" s="4" t="s">
        <v>1</v>
      </c>
      <c r="E11" s="148">
        <v>25000</v>
      </c>
      <c r="F11" s="149">
        <v>25000</v>
      </c>
      <c r="G11" s="128">
        <v>25000</v>
      </c>
      <c r="H11" s="107">
        <f>(J11-G11)/G11</f>
        <v>0</v>
      </c>
      <c r="I11" s="79">
        <f>J11-G11</f>
        <v>0</v>
      </c>
      <c r="J11" s="128">
        <v>25000</v>
      </c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1:23" s="4" customFormat="1">
      <c r="C12" s="47"/>
      <c r="E12" s="148"/>
      <c r="F12" s="150"/>
      <c r="G12" s="87"/>
      <c r="H12" s="107"/>
      <c r="I12" s="79">
        <f t="shared" ref="I12:I75" si="0">J12-G12</f>
        <v>0</v>
      </c>
      <c r="J12" s="87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</row>
    <row r="13" spans="1:23" s="6" customFormat="1">
      <c r="A13" s="4" t="s">
        <v>342</v>
      </c>
      <c r="B13" s="6" t="s">
        <v>2</v>
      </c>
      <c r="C13" s="46" t="s">
        <v>3</v>
      </c>
      <c r="E13" s="151">
        <f>SUM(E11:E12)</f>
        <v>25000</v>
      </c>
      <c r="F13" s="152">
        <f>SUM(F11:F12)</f>
        <v>25000</v>
      </c>
      <c r="G13" s="86">
        <f>SUM(G11:G12)</f>
        <v>25000</v>
      </c>
      <c r="H13" s="174">
        <f t="shared" ref="H13:H73" si="1">(J13-G13)/G13</f>
        <v>0</v>
      </c>
      <c r="I13" s="175">
        <f t="shared" si="0"/>
        <v>0</v>
      </c>
      <c r="J13" s="86">
        <f>SUM(J11:J12)</f>
        <v>25000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1:23" s="4" customFormat="1">
      <c r="C14" s="47"/>
      <c r="E14" s="148"/>
      <c r="F14" s="150"/>
      <c r="G14" s="87"/>
      <c r="H14" s="107"/>
      <c r="I14" s="79"/>
      <c r="J14" s="87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spans="1:23" s="6" customFormat="1">
      <c r="A15" s="4"/>
      <c r="B15" s="6">
        <v>114</v>
      </c>
      <c r="C15" s="46" t="s">
        <v>4</v>
      </c>
      <c r="E15" s="151"/>
      <c r="F15" s="152"/>
      <c r="G15" s="86"/>
      <c r="H15" s="174"/>
      <c r="I15" s="175"/>
      <c r="J15" s="86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3" s="4" customFormat="1">
      <c r="B16" s="4">
        <v>114</v>
      </c>
      <c r="C16" s="47">
        <v>5105111</v>
      </c>
      <c r="D16" s="4" t="s">
        <v>5</v>
      </c>
      <c r="E16" s="148">
        <v>100</v>
      </c>
      <c r="F16" s="149">
        <v>102</v>
      </c>
      <c r="G16" s="109">
        <v>102</v>
      </c>
      <c r="H16" s="107">
        <f t="shared" si="1"/>
        <v>0</v>
      </c>
      <c r="I16" s="79">
        <f t="shared" si="0"/>
        <v>0</v>
      </c>
      <c r="J16" s="109">
        <v>102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s="4" customFormat="1">
      <c r="B17" s="4">
        <v>114</v>
      </c>
      <c r="C17" s="47">
        <v>5705700</v>
      </c>
      <c r="D17" s="4" t="s">
        <v>215</v>
      </c>
      <c r="E17" s="148">
        <v>2200</v>
      </c>
      <c r="F17" s="149">
        <v>3200</v>
      </c>
      <c r="G17" s="87">
        <v>3200</v>
      </c>
      <c r="H17" s="107">
        <f t="shared" si="1"/>
        <v>0</v>
      </c>
      <c r="I17" s="79">
        <f t="shared" si="0"/>
        <v>0</v>
      </c>
      <c r="J17" s="87">
        <v>3200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3" s="4" customFormat="1">
      <c r="C18" s="47"/>
      <c r="E18" s="148"/>
      <c r="F18" s="150"/>
      <c r="G18" s="109"/>
      <c r="H18" s="107"/>
      <c r="I18" s="79">
        <f t="shared" si="0"/>
        <v>0</v>
      </c>
      <c r="J18" s="109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s="6" customFormat="1">
      <c r="A19" s="4" t="s">
        <v>342</v>
      </c>
      <c r="B19" s="6" t="s">
        <v>2</v>
      </c>
      <c r="C19" s="46" t="s">
        <v>9</v>
      </c>
      <c r="E19" s="153">
        <f t="shared" ref="E19:F19" si="2">SUM(E16:E18)</f>
        <v>2300</v>
      </c>
      <c r="F19" s="154">
        <f t="shared" si="2"/>
        <v>3302</v>
      </c>
      <c r="G19" s="86">
        <f>SUM(G16:G18)</f>
        <v>3302</v>
      </c>
      <c r="H19" s="174">
        <f t="shared" si="1"/>
        <v>0</v>
      </c>
      <c r="I19" s="175">
        <f t="shared" si="0"/>
        <v>0</v>
      </c>
      <c r="J19" s="86">
        <f>SUM(J16:J18)</f>
        <v>3302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s="4" customFormat="1">
      <c r="C20" s="47"/>
      <c r="E20" s="148"/>
      <c r="F20" s="150"/>
      <c r="G20" s="87"/>
      <c r="H20" s="107"/>
      <c r="I20" s="79"/>
      <c r="J20" s="87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3" s="6" customFormat="1">
      <c r="A21" s="4"/>
      <c r="B21" s="6">
        <v>122</v>
      </c>
      <c r="C21" s="46" t="s">
        <v>10</v>
      </c>
      <c r="E21" s="151"/>
      <c r="F21" s="152"/>
      <c r="G21" s="86"/>
      <c r="H21" s="174"/>
      <c r="I21" s="175"/>
      <c r="J21" s="86"/>
      <c r="K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1:23" s="4" customFormat="1">
      <c r="B22" s="4">
        <v>122</v>
      </c>
      <c r="C22" s="47">
        <v>5105111</v>
      </c>
      <c r="D22" s="4" t="s">
        <v>11</v>
      </c>
      <c r="E22" s="148">
        <v>11374</v>
      </c>
      <c r="F22" s="155">
        <v>11545</v>
      </c>
      <c r="G22" s="109">
        <v>12000</v>
      </c>
      <c r="H22" s="107">
        <f t="shared" si="1"/>
        <v>0</v>
      </c>
      <c r="I22" s="79">
        <f t="shared" si="0"/>
        <v>0</v>
      </c>
      <c r="J22" s="109">
        <v>12000</v>
      </c>
      <c r="K22" s="88"/>
      <c r="L22" s="187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1:23" s="4" customFormat="1">
      <c r="B23" s="4">
        <v>122</v>
      </c>
      <c r="C23" s="47">
        <v>5105115</v>
      </c>
      <c r="D23" s="4" t="s">
        <v>212</v>
      </c>
      <c r="E23" s="148">
        <v>68300</v>
      </c>
      <c r="F23" s="155">
        <v>68300</v>
      </c>
      <c r="G23" s="109">
        <v>68300</v>
      </c>
      <c r="H23" s="107">
        <f t="shared" si="1"/>
        <v>0.1273792093704246</v>
      </c>
      <c r="I23" s="79">
        <f t="shared" si="0"/>
        <v>8700</v>
      </c>
      <c r="J23" s="109">
        <v>77000</v>
      </c>
      <c r="K23" s="183"/>
      <c r="L23" s="187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s="4" customFormat="1">
      <c r="B24" s="4">
        <v>122</v>
      </c>
      <c r="C24" s="47">
        <v>5105110</v>
      </c>
      <c r="D24" s="4" t="s">
        <v>12</v>
      </c>
      <c r="E24" s="148">
        <v>20592</v>
      </c>
      <c r="F24" s="155">
        <v>23635</v>
      </c>
      <c r="G24" s="109">
        <v>23000</v>
      </c>
      <c r="H24" s="107">
        <f t="shared" si="1"/>
        <v>0.45364869565217386</v>
      </c>
      <c r="I24" s="79">
        <f t="shared" si="0"/>
        <v>10433.919999999998</v>
      </c>
      <c r="J24" s="109">
        <f>26.79*24*52</f>
        <v>33433.919999999998</v>
      </c>
      <c r="K24" s="88"/>
      <c r="L24" s="1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1:23" s="4" customFormat="1">
      <c r="B25" s="4">
        <v>122</v>
      </c>
      <c r="C25" s="47"/>
      <c r="D25" s="4" t="s">
        <v>364</v>
      </c>
      <c r="E25" s="148">
        <v>0</v>
      </c>
      <c r="F25" s="155">
        <v>0</v>
      </c>
      <c r="G25" s="109">
        <v>0</v>
      </c>
      <c r="H25" s="107"/>
      <c r="I25" s="79">
        <f t="shared" si="0"/>
        <v>0</v>
      </c>
      <c r="J25" s="109">
        <v>0</v>
      </c>
      <c r="K25" s="88"/>
      <c r="L25" s="187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1:23" s="4" customFormat="1">
      <c r="B26" s="4">
        <v>122</v>
      </c>
      <c r="C26" s="47">
        <v>5705700</v>
      </c>
      <c r="D26" s="4" t="s">
        <v>216</v>
      </c>
      <c r="E26" s="148">
        <v>1000</v>
      </c>
      <c r="F26" s="155">
        <v>2000</v>
      </c>
      <c r="G26" s="109">
        <v>2000</v>
      </c>
      <c r="H26" s="107">
        <f t="shared" si="1"/>
        <v>0</v>
      </c>
      <c r="I26" s="79">
        <f t="shared" si="0"/>
        <v>0</v>
      </c>
      <c r="J26" s="109">
        <v>2000</v>
      </c>
      <c r="K26" s="88"/>
      <c r="L26" s="187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1:23" s="4" customFormat="1">
      <c r="B27" s="4">
        <v>122</v>
      </c>
      <c r="C27" s="47"/>
      <c r="D27" s="4" t="s">
        <v>17</v>
      </c>
      <c r="E27" s="148">
        <v>0</v>
      </c>
      <c r="F27" s="155">
        <v>0</v>
      </c>
      <c r="G27" s="109"/>
      <c r="H27" s="107"/>
      <c r="I27" s="79">
        <f t="shared" si="0"/>
        <v>0</v>
      </c>
      <c r="J27" s="109"/>
      <c r="K27" s="88"/>
      <c r="L27" s="187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1:23" s="4" customFormat="1">
      <c r="B28" s="4">
        <v>122</v>
      </c>
      <c r="C28" s="47">
        <v>5705700</v>
      </c>
      <c r="D28" s="4" t="s">
        <v>6</v>
      </c>
      <c r="E28" s="148">
        <v>3811</v>
      </c>
      <c r="F28" s="155">
        <v>6038</v>
      </c>
      <c r="G28" s="109">
        <v>6500</v>
      </c>
      <c r="H28" s="107">
        <f t="shared" si="1"/>
        <v>-0.38461538461538464</v>
      </c>
      <c r="I28" s="79">
        <f t="shared" si="0"/>
        <v>-2500</v>
      </c>
      <c r="J28" s="109">
        <v>4000</v>
      </c>
      <c r="K28" s="184"/>
      <c r="L28" s="187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1:23" s="4" customFormat="1">
      <c r="B29" s="4">
        <v>122</v>
      </c>
      <c r="C29" s="47">
        <v>5705711</v>
      </c>
      <c r="D29" s="4" t="s">
        <v>7</v>
      </c>
      <c r="E29" s="148">
        <v>50</v>
      </c>
      <c r="F29" s="155">
        <v>50</v>
      </c>
      <c r="G29" s="109">
        <v>100</v>
      </c>
      <c r="H29" s="107">
        <f t="shared" si="1"/>
        <v>0</v>
      </c>
      <c r="I29" s="79">
        <f t="shared" si="0"/>
        <v>0</v>
      </c>
      <c r="J29" s="109">
        <v>100</v>
      </c>
      <c r="K29" s="88"/>
      <c r="L29" s="187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</row>
    <row r="30" spans="1:23" s="4" customFormat="1">
      <c r="B30" s="4">
        <v>122</v>
      </c>
      <c r="C30" s="47">
        <v>5705731</v>
      </c>
      <c r="D30" s="4" t="s">
        <v>8</v>
      </c>
      <c r="E30" s="148">
        <v>725</v>
      </c>
      <c r="F30" s="155">
        <v>1155</v>
      </c>
      <c r="G30" s="109">
        <v>1200</v>
      </c>
      <c r="H30" s="107">
        <f t="shared" si="1"/>
        <v>0.25</v>
      </c>
      <c r="I30" s="79">
        <f t="shared" si="0"/>
        <v>300</v>
      </c>
      <c r="J30" s="109">
        <v>1500</v>
      </c>
      <c r="K30" s="88"/>
      <c r="L30" s="187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</row>
    <row r="31" spans="1:23" s="4" customFormat="1">
      <c r="B31" s="4">
        <v>122</v>
      </c>
      <c r="C31" s="47"/>
      <c r="D31" s="4" t="s">
        <v>437</v>
      </c>
      <c r="E31" s="148">
        <v>0</v>
      </c>
      <c r="F31" s="155">
        <v>0</v>
      </c>
      <c r="G31" s="109">
        <v>5000</v>
      </c>
      <c r="H31" s="107">
        <f t="shared" si="1"/>
        <v>-0.4</v>
      </c>
      <c r="I31" s="79">
        <f t="shared" si="0"/>
        <v>-2000</v>
      </c>
      <c r="J31" s="109">
        <v>3000</v>
      </c>
      <c r="K31" s="88"/>
      <c r="L31" s="187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</row>
    <row r="32" spans="1:23" s="4" customFormat="1">
      <c r="B32" s="4">
        <v>122</v>
      </c>
      <c r="C32" s="47"/>
      <c r="D32" s="88" t="s">
        <v>407</v>
      </c>
      <c r="E32" s="148"/>
      <c r="F32" s="150">
        <v>1800</v>
      </c>
      <c r="G32" s="109">
        <v>0</v>
      </c>
      <c r="H32" s="107"/>
      <c r="I32" s="79">
        <f t="shared" si="0"/>
        <v>0</v>
      </c>
      <c r="J32" s="109">
        <v>0</v>
      </c>
      <c r="K32" s="88"/>
      <c r="L32" s="189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</row>
    <row r="33" spans="1:23" s="6" customFormat="1">
      <c r="A33" s="4" t="s">
        <v>342</v>
      </c>
      <c r="B33" s="6" t="s">
        <v>2</v>
      </c>
      <c r="C33" s="46" t="s">
        <v>23</v>
      </c>
      <c r="E33" s="153">
        <f t="shared" ref="E33" si="3">SUM(E22:E31)</f>
        <v>105852</v>
      </c>
      <c r="F33" s="154">
        <f>SUM(F22:F32)</f>
        <v>114523</v>
      </c>
      <c r="G33" s="110">
        <f>SUM(G22:G32)</f>
        <v>118100</v>
      </c>
      <c r="H33" s="174">
        <f t="shared" si="1"/>
        <v>0.12645148179508878</v>
      </c>
      <c r="I33" s="175">
        <f t="shared" si="0"/>
        <v>14933.919999999984</v>
      </c>
      <c r="J33" s="110">
        <f>SUM(J22:J32)</f>
        <v>133033.91999999998</v>
      </c>
      <c r="K33" s="88"/>
      <c r="L33" s="187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 s="4" customFormat="1">
      <c r="C34" s="47"/>
      <c r="E34" s="148"/>
      <c r="F34" s="150"/>
      <c r="G34" s="87"/>
      <c r="H34" s="107"/>
      <c r="I34" s="79"/>
      <c r="J34" s="87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</row>
    <row r="35" spans="1:23" s="6" customFormat="1">
      <c r="A35" s="4"/>
      <c r="B35" s="6">
        <v>131</v>
      </c>
      <c r="C35" s="46" t="s">
        <v>24</v>
      </c>
      <c r="E35" s="151"/>
      <c r="F35" s="152"/>
      <c r="G35" s="86"/>
      <c r="H35" s="174"/>
      <c r="I35" s="175"/>
      <c r="J35" s="86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</row>
    <row r="36" spans="1:23" s="4" customFormat="1">
      <c r="B36" s="4">
        <v>131</v>
      </c>
      <c r="C36" s="47">
        <v>5705731</v>
      </c>
      <c r="D36" s="4" t="s">
        <v>340</v>
      </c>
      <c r="E36" s="155">
        <v>180</v>
      </c>
      <c r="F36" s="149">
        <v>180</v>
      </c>
      <c r="G36" s="109">
        <v>180</v>
      </c>
      <c r="H36" s="107">
        <f t="shared" si="1"/>
        <v>0</v>
      </c>
      <c r="I36" s="79">
        <f t="shared" si="0"/>
        <v>0</v>
      </c>
      <c r="J36" s="109">
        <v>180</v>
      </c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</row>
    <row r="37" spans="1:23" s="4" customFormat="1">
      <c r="B37" s="4">
        <v>131</v>
      </c>
      <c r="C37" s="47">
        <v>5705731</v>
      </c>
      <c r="D37" s="4" t="s">
        <v>380</v>
      </c>
      <c r="E37" s="155">
        <v>100</v>
      </c>
      <c r="F37" s="149">
        <v>100</v>
      </c>
      <c r="G37" s="109">
        <v>100</v>
      </c>
      <c r="H37" s="107">
        <f t="shared" si="1"/>
        <v>0</v>
      </c>
      <c r="I37" s="79">
        <f t="shared" si="0"/>
        <v>0</v>
      </c>
      <c r="J37" s="109">
        <v>100</v>
      </c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</row>
    <row r="38" spans="1:23" s="4" customFormat="1">
      <c r="B38" s="4">
        <v>131</v>
      </c>
      <c r="C38" s="47">
        <v>5705713</v>
      </c>
      <c r="D38" s="4" t="s">
        <v>381</v>
      </c>
      <c r="E38" s="155">
        <v>1000</v>
      </c>
      <c r="F38" s="149">
        <v>1000</v>
      </c>
      <c r="G38" s="109">
        <v>1000</v>
      </c>
      <c r="H38" s="107">
        <f t="shared" si="1"/>
        <v>0</v>
      </c>
      <c r="I38" s="79">
        <f t="shared" si="0"/>
        <v>0</v>
      </c>
      <c r="J38" s="109">
        <v>1000</v>
      </c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</row>
    <row r="39" spans="1:23" s="4" customFormat="1">
      <c r="B39" s="4">
        <v>131</v>
      </c>
      <c r="C39" s="47">
        <v>5705420</v>
      </c>
      <c r="D39" s="4" t="s">
        <v>341</v>
      </c>
      <c r="E39" s="155">
        <v>50</v>
      </c>
      <c r="F39" s="149">
        <v>50</v>
      </c>
      <c r="G39" s="109">
        <v>50</v>
      </c>
      <c r="H39" s="107">
        <f t="shared" si="1"/>
        <v>0</v>
      </c>
      <c r="I39" s="79">
        <f t="shared" si="0"/>
        <v>0</v>
      </c>
      <c r="J39" s="109">
        <v>50</v>
      </c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</row>
    <row r="40" spans="1:23" s="4" customFormat="1">
      <c r="E40" s="130"/>
      <c r="F40" s="146"/>
      <c r="H40" s="107"/>
      <c r="I40" s="79">
        <f t="shared" si="0"/>
        <v>0</v>
      </c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</row>
    <row r="41" spans="1:23" s="4" customFormat="1">
      <c r="C41" s="47"/>
      <c r="E41" s="148"/>
      <c r="F41" s="149"/>
      <c r="G41" s="109" t="s">
        <v>439</v>
      </c>
      <c r="H41" s="107"/>
      <c r="I41" s="79"/>
      <c r="J41" s="109" t="s">
        <v>439</v>
      </c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  <row r="42" spans="1:23" s="6" customFormat="1">
      <c r="A42" s="4" t="s">
        <v>342</v>
      </c>
      <c r="B42" s="6" t="s">
        <v>2</v>
      </c>
      <c r="C42" s="46" t="s">
        <v>25</v>
      </c>
      <c r="E42" s="153">
        <f>SUM(E36:E41)</f>
        <v>1330</v>
      </c>
      <c r="F42" s="154">
        <f>SUM(F36:F41)</f>
        <v>1330</v>
      </c>
      <c r="G42" s="86">
        <f>SUM(G36:G41)</f>
        <v>1330</v>
      </c>
      <c r="H42" s="174">
        <f t="shared" si="1"/>
        <v>0</v>
      </c>
      <c r="I42" s="175">
        <f t="shared" si="0"/>
        <v>0</v>
      </c>
      <c r="J42" s="86">
        <f>SUM(J36:J41)</f>
        <v>1330</v>
      </c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</row>
    <row r="43" spans="1:23" s="4" customFormat="1">
      <c r="C43" s="47"/>
      <c r="E43" s="148"/>
      <c r="F43" s="150"/>
      <c r="G43" s="87"/>
      <c r="H43" s="107"/>
      <c r="I43" s="79"/>
      <c r="J43" s="87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</row>
    <row r="44" spans="1:23" s="4" customFormat="1">
      <c r="C44" s="47"/>
      <c r="E44" s="148"/>
      <c r="F44" s="150"/>
      <c r="G44" s="87"/>
      <c r="H44" s="107"/>
      <c r="I44" s="79"/>
      <c r="J44" s="87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</row>
    <row r="45" spans="1:23" s="6" customFormat="1">
      <c r="A45" s="4"/>
      <c r="B45" s="6">
        <v>135</v>
      </c>
      <c r="C45" s="46" t="s">
        <v>26</v>
      </c>
      <c r="E45" s="151"/>
      <c r="F45" s="152"/>
      <c r="G45" s="86"/>
      <c r="H45" s="174"/>
      <c r="I45" s="175"/>
      <c r="J45" s="86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</row>
    <row r="46" spans="1:23" s="4" customFormat="1">
      <c r="B46" s="4">
        <v>135</v>
      </c>
      <c r="C46" s="47">
        <v>5105115</v>
      </c>
      <c r="D46" s="4" t="s">
        <v>27</v>
      </c>
      <c r="E46" s="148">
        <v>61500</v>
      </c>
      <c r="F46" s="155">
        <v>61500</v>
      </c>
      <c r="G46" s="109">
        <v>56000</v>
      </c>
      <c r="H46" s="107">
        <f t="shared" si="1"/>
        <v>6.25E-2</v>
      </c>
      <c r="I46" s="79">
        <f t="shared" si="0"/>
        <v>3500</v>
      </c>
      <c r="J46" s="109">
        <v>59500</v>
      </c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</row>
    <row r="47" spans="1:23" s="4" customFormat="1">
      <c r="B47" s="4">
        <v>135</v>
      </c>
      <c r="C47" s="47">
        <v>5105115</v>
      </c>
      <c r="D47" s="4" t="s">
        <v>432</v>
      </c>
      <c r="E47" s="148">
        <v>27250</v>
      </c>
      <c r="F47" s="149">
        <v>27795</v>
      </c>
      <c r="G47" s="109">
        <v>25000</v>
      </c>
      <c r="H47" s="107">
        <f t="shared" si="1"/>
        <v>0</v>
      </c>
      <c r="I47" s="79">
        <f t="shared" si="0"/>
        <v>0</v>
      </c>
      <c r="J47" s="109">
        <v>25000</v>
      </c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</row>
    <row r="48" spans="1:23" s="4" customFormat="1">
      <c r="B48" s="4">
        <v>135</v>
      </c>
      <c r="C48" s="47">
        <v>5705301</v>
      </c>
      <c r="D48" s="4" t="s">
        <v>28</v>
      </c>
      <c r="E48" s="148">
        <v>29000</v>
      </c>
      <c r="F48" s="149">
        <v>29000</v>
      </c>
      <c r="G48" s="109">
        <v>29000</v>
      </c>
      <c r="H48" s="107">
        <f t="shared" si="1"/>
        <v>0</v>
      </c>
      <c r="I48" s="79">
        <f t="shared" si="0"/>
        <v>0</v>
      </c>
      <c r="J48" s="109">
        <v>29000</v>
      </c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</row>
    <row r="49" spans="1:23" s="4" customFormat="1">
      <c r="B49" s="4">
        <v>135</v>
      </c>
      <c r="C49" s="47">
        <v>5705301</v>
      </c>
      <c r="D49" s="4" t="s">
        <v>29</v>
      </c>
      <c r="E49" s="148">
        <v>0</v>
      </c>
      <c r="F49" s="149">
        <v>0</v>
      </c>
      <c r="G49" s="109">
        <v>0</v>
      </c>
      <c r="H49" s="107"/>
      <c r="I49" s="79">
        <f t="shared" si="0"/>
        <v>5000</v>
      </c>
      <c r="J49" s="109">
        <v>5000</v>
      </c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</row>
    <row r="50" spans="1:23" s="4" customFormat="1">
      <c r="B50" s="4">
        <v>135</v>
      </c>
      <c r="C50" s="47">
        <v>5705700</v>
      </c>
      <c r="D50" s="4" t="s">
        <v>6</v>
      </c>
      <c r="E50" s="148">
        <v>500</v>
      </c>
      <c r="F50" s="149">
        <v>500</v>
      </c>
      <c r="G50" s="109">
        <v>500</v>
      </c>
      <c r="H50" s="107">
        <f t="shared" si="1"/>
        <v>0.5</v>
      </c>
      <c r="I50" s="79">
        <f t="shared" si="0"/>
        <v>250</v>
      </c>
      <c r="J50" s="109">
        <v>750</v>
      </c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</row>
    <row r="51" spans="1:23" s="4" customFormat="1">
      <c r="B51" s="4">
        <v>135</v>
      </c>
      <c r="C51" s="47">
        <v>5705711</v>
      </c>
      <c r="D51" s="4" t="s">
        <v>217</v>
      </c>
      <c r="E51" s="148">
        <v>100</v>
      </c>
      <c r="F51" s="149">
        <v>100</v>
      </c>
      <c r="G51" s="109">
        <v>100</v>
      </c>
      <c r="H51" s="107">
        <f t="shared" si="1"/>
        <v>0</v>
      </c>
      <c r="I51" s="79">
        <f t="shared" si="0"/>
        <v>0</v>
      </c>
      <c r="J51" s="109">
        <v>100</v>
      </c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</row>
    <row r="52" spans="1:23" s="4" customFormat="1">
      <c r="B52" s="4">
        <v>135</v>
      </c>
      <c r="C52" s="47">
        <v>5705731</v>
      </c>
      <c r="D52" s="4" t="s">
        <v>8</v>
      </c>
      <c r="E52" s="148">
        <v>150</v>
      </c>
      <c r="F52" s="149">
        <v>150</v>
      </c>
      <c r="G52" s="109">
        <v>150</v>
      </c>
      <c r="H52" s="107">
        <f t="shared" si="1"/>
        <v>0</v>
      </c>
      <c r="I52" s="79">
        <f t="shared" si="0"/>
        <v>0</v>
      </c>
      <c r="J52" s="109">
        <v>150</v>
      </c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</row>
    <row r="53" spans="1:23" s="4" customFormat="1">
      <c r="B53" s="4">
        <v>135</v>
      </c>
      <c r="C53" s="47">
        <v>5705700</v>
      </c>
      <c r="D53" s="4" t="s">
        <v>412</v>
      </c>
      <c r="E53" s="148">
        <v>0</v>
      </c>
      <c r="F53" s="149"/>
      <c r="G53" s="109">
        <v>100</v>
      </c>
      <c r="H53" s="107">
        <f t="shared" si="1"/>
        <v>0</v>
      </c>
      <c r="I53" s="79">
        <f t="shared" si="0"/>
        <v>0</v>
      </c>
      <c r="J53" s="109">
        <v>100</v>
      </c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</row>
    <row r="54" spans="1:23" s="4" customFormat="1">
      <c r="B54" s="4">
        <v>135</v>
      </c>
      <c r="C54" s="47">
        <v>5705700</v>
      </c>
      <c r="D54" s="4" t="s">
        <v>413</v>
      </c>
      <c r="E54" s="148"/>
      <c r="F54" s="149">
        <v>2500</v>
      </c>
      <c r="G54" s="109">
        <v>750</v>
      </c>
      <c r="H54" s="107">
        <f t="shared" si="1"/>
        <v>1</v>
      </c>
      <c r="I54" s="79">
        <f t="shared" si="0"/>
        <v>750</v>
      </c>
      <c r="J54" s="109">
        <v>1500</v>
      </c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</row>
    <row r="55" spans="1:23" s="4" customFormat="1">
      <c r="B55" s="4">
        <v>135</v>
      </c>
      <c r="C55" s="47" t="s">
        <v>453</v>
      </c>
      <c r="D55" s="4" t="s">
        <v>452</v>
      </c>
      <c r="E55" s="130"/>
      <c r="F55" s="130"/>
      <c r="H55" s="107"/>
      <c r="I55" s="79">
        <f t="shared" si="0"/>
        <v>0</v>
      </c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</row>
    <row r="56" spans="1:23" s="6" customFormat="1">
      <c r="A56" s="4" t="s">
        <v>342</v>
      </c>
      <c r="B56" s="6" t="s">
        <v>2</v>
      </c>
      <c r="C56" s="46" t="s">
        <v>30</v>
      </c>
      <c r="E56" s="153">
        <f t="shared" ref="E56" si="4">SUM(E46:E53)</f>
        <v>118500</v>
      </c>
      <c r="F56" s="154">
        <f>SUM(F46:F54)</f>
        <v>121545</v>
      </c>
      <c r="G56" s="86">
        <f>SUM(G46:G54)</f>
        <v>111600</v>
      </c>
      <c r="H56" s="174">
        <f t="shared" si="1"/>
        <v>8.5125448028673834E-2</v>
      </c>
      <c r="I56" s="175">
        <f t="shared" si="0"/>
        <v>9500</v>
      </c>
      <c r="J56" s="86">
        <f>SUM(J46:J55)</f>
        <v>121100</v>
      </c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</row>
    <row r="57" spans="1:23" s="4" customFormat="1">
      <c r="D57" s="47"/>
      <c r="E57" s="148"/>
      <c r="F57" s="150"/>
      <c r="G57" s="87"/>
      <c r="H57" s="107"/>
      <c r="I57" s="79"/>
      <c r="J57" s="87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</row>
    <row r="58" spans="1:23" s="6" customFormat="1">
      <c r="A58" s="4"/>
      <c r="B58" s="6">
        <v>141</v>
      </c>
      <c r="C58" s="46" t="s">
        <v>31</v>
      </c>
      <c r="E58" s="151"/>
      <c r="F58" s="152"/>
      <c r="G58" s="86"/>
      <c r="H58" s="174"/>
      <c r="I58" s="175"/>
      <c r="J58" s="86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1:23" s="4" customFormat="1">
      <c r="B59" s="4">
        <v>141</v>
      </c>
      <c r="C59" s="47">
        <v>5105111</v>
      </c>
      <c r="D59" s="4" t="s">
        <v>32</v>
      </c>
      <c r="E59" s="148">
        <v>11374</v>
      </c>
      <c r="F59" s="149">
        <v>11545</v>
      </c>
      <c r="G59" s="109">
        <v>12000</v>
      </c>
      <c r="H59" s="107">
        <f t="shared" si="1"/>
        <v>0.02</v>
      </c>
      <c r="I59" s="79">
        <f t="shared" si="0"/>
        <v>240</v>
      </c>
      <c r="J59" s="109">
        <v>12240</v>
      </c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</row>
    <row r="60" spans="1:23" s="75" customFormat="1">
      <c r="B60" s="4">
        <v>141</v>
      </c>
      <c r="C60" s="47">
        <v>5105115</v>
      </c>
      <c r="D60" s="4" t="s">
        <v>376</v>
      </c>
      <c r="E60" s="148">
        <v>30615</v>
      </c>
      <c r="F60" s="149">
        <v>31371</v>
      </c>
      <c r="G60" s="133">
        <v>31371</v>
      </c>
      <c r="H60" s="107">
        <f t="shared" si="1"/>
        <v>0.14755666061011763</v>
      </c>
      <c r="I60" s="79">
        <f t="shared" si="0"/>
        <v>4629</v>
      </c>
      <c r="J60" s="133">
        <v>36000</v>
      </c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</row>
    <row r="61" spans="1:23" s="4" customFormat="1">
      <c r="B61" s="4">
        <v>141</v>
      </c>
      <c r="C61" s="47">
        <v>5105110</v>
      </c>
      <c r="D61" s="4" t="s">
        <v>12</v>
      </c>
      <c r="E61" s="148">
        <v>0</v>
      </c>
      <c r="F61" s="149">
        <v>0</v>
      </c>
      <c r="G61" s="109">
        <v>0</v>
      </c>
      <c r="H61" s="107"/>
      <c r="I61" s="79">
        <f t="shared" si="0"/>
        <v>10353</v>
      </c>
      <c r="J61" s="109">
        <v>10353</v>
      </c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</row>
    <row r="62" spans="1:23" s="4" customFormat="1">
      <c r="B62" s="4">
        <v>141</v>
      </c>
      <c r="C62" s="47"/>
      <c r="D62" s="4" t="s">
        <v>364</v>
      </c>
      <c r="E62" s="148">
        <v>0</v>
      </c>
      <c r="F62" s="149">
        <v>0</v>
      </c>
      <c r="G62" s="109">
        <v>0</v>
      </c>
      <c r="H62" s="107"/>
      <c r="I62" s="79">
        <f t="shared" si="0"/>
        <v>0</v>
      </c>
      <c r="J62" s="109">
        <v>0</v>
      </c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</row>
    <row r="63" spans="1:23" s="4" customFormat="1">
      <c r="B63" s="4">
        <v>141</v>
      </c>
      <c r="C63" s="47">
        <v>5705700</v>
      </c>
      <c r="D63" s="4" t="s">
        <v>194</v>
      </c>
      <c r="E63" s="148">
        <v>10835</v>
      </c>
      <c r="F63" s="149">
        <v>10835</v>
      </c>
      <c r="G63" s="109">
        <v>10835</v>
      </c>
      <c r="H63" s="107">
        <f t="shared" si="1"/>
        <v>0</v>
      </c>
      <c r="I63" s="79">
        <f t="shared" si="0"/>
        <v>0</v>
      </c>
      <c r="J63" s="109">
        <v>10835</v>
      </c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</row>
    <row r="64" spans="1:23" s="4" customFormat="1">
      <c r="B64" s="4">
        <v>141</v>
      </c>
      <c r="C64" s="47">
        <v>5705305</v>
      </c>
      <c r="D64" s="4" t="s">
        <v>218</v>
      </c>
      <c r="E64" s="148">
        <v>5000</v>
      </c>
      <c r="F64" s="149">
        <v>5000</v>
      </c>
      <c r="G64" s="109">
        <v>5000</v>
      </c>
      <c r="H64" s="107">
        <f t="shared" si="1"/>
        <v>0.5</v>
      </c>
      <c r="I64" s="79">
        <f t="shared" si="0"/>
        <v>2500</v>
      </c>
      <c r="J64" s="109">
        <v>7500</v>
      </c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</row>
    <row r="65" spans="1:23" s="4" customFormat="1">
      <c r="B65" s="4">
        <v>141</v>
      </c>
      <c r="C65" s="47">
        <v>5705715</v>
      </c>
      <c r="D65" s="4" t="s">
        <v>20</v>
      </c>
      <c r="E65" s="148">
        <v>3000</v>
      </c>
      <c r="F65" s="149">
        <v>3000</v>
      </c>
      <c r="G65" s="109">
        <v>3000</v>
      </c>
      <c r="H65" s="107">
        <f t="shared" si="1"/>
        <v>-0.16666666666666666</v>
      </c>
      <c r="I65" s="79">
        <f t="shared" si="0"/>
        <v>-500</v>
      </c>
      <c r="J65" s="109">
        <v>2500</v>
      </c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</row>
    <row r="66" spans="1:23" s="4" customFormat="1">
      <c r="B66" s="4">
        <v>141</v>
      </c>
      <c r="C66" s="47">
        <v>5105116</v>
      </c>
      <c r="D66" s="4" t="s">
        <v>321</v>
      </c>
      <c r="E66" s="148">
        <v>6000</v>
      </c>
      <c r="F66" s="149">
        <v>6000</v>
      </c>
      <c r="G66" s="109">
        <v>6000</v>
      </c>
      <c r="H66" s="107">
        <f t="shared" si="1"/>
        <v>0</v>
      </c>
      <c r="I66" s="79">
        <f t="shared" si="0"/>
        <v>0</v>
      </c>
      <c r="J66" s="109">
        <v>6000</v>
      </c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</row>
    <row r="67" spans="1:23" s="4" customFormat="1">
      <c r="B67" s="4">
        <v>141</v>
      </c>
      <c r="C67" s="47">
        <v>5705249</v>
      </c>
      <c r="D67" s="4" t="s">
        <v>34</v>
      </c>
      <c r="E67" s="148">
        <v>5300</v>
      </c>
      <c r="F67" s="149">
        <v>7200</v>
      </c>
      <c r="G67" s="109">
        <v>16355</v>
      </c>
      <c r="H67" s="107">
        <f t="shared" si="1"/>
        <v>-2.1705900336288598E-2</v>
      </c>
      <c r="I67" s="79">
        <f t="shared" si="0"/>
        <v>-355</v>
      </c>
      <c r="J67" s="109">
        <v>16000</v>
      </c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</row>
    <row r="68" spans="1:23" s="4" customFormat="1">
      <c r="B68" s="4">
        <v>141</v>
      </c>
      <c r="C68" s="47"/>
      <c r="D68" s="4" t="s">
        <v>6</v>
      </c>
      <c r="E68" s="148">
        <v>0</v>
      </c>
      <c r="F68" s="149">
        <v>0</v>
      </c>
      <c r="G68" s="109"/>
      <c r="H68" s="107"/>
      <c r="I68" s="79">
        <f t="shared" si="0"/>
        <v>0</v>
      </c>
      <c r="J68" s="109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</row>
    <row r="69" spans="1:23" s="6" customFormat="1">
      <c r="A69" s="4"/>
      <c r="B69" s="4">
        <v>141</v>
      </c>
      <c r="C69" s="47">
        <v>5705304</v>
      </c>
      <c r="D69" s="4" t="s">
        <v>369</v>
      </c>
      <c r="E69" s="148">
        <v>6680</v>
      </c>
      <c r="F69" s="149">
        <v>6680</v>
      </c>
      <c r="G69" s="109">
        <v>6680</v>
      </c>
      <c r="H69" s="107">
        <f t="shared" si="1"/>
        <v>0.1497005988023952</v>
      </c>
      <c r="I69" s="79">
        <f t="shared" si="0"/>
        <v>1000</v>
      </c>
      <c r="J69" s="109">
        <v>7680</v>
      </c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</row>
    <row r="70" spans="1:23" s="4" customFormat="1">
      <c r="B70" s="4">
        <v>141</v>
      </c>
      <c r="C70" s="47"/>
      <c r="D70" s="4" t="s">
        <v>215</v>
      </c>
      <c r="E70" s="148">
        <v>0</v>
      </c>
      <c r="F70" s="149">
        <v>0</v>
      </c>
      <c r="G70" s="109"/>
      <c r="H70" s="107"/>
      <c r="I70" s="79">
        <f t="shared" si="0"/>
        <v>0</v>
      </c>
      <c r="J70" s="109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</row>
    <row r="71" spans="1:23" s="6" customFormat="1">
      <c r="A71" s="4"/>
      <c r="B71" s="4">
        <v>141</v>
      </c>
      <c r="C71" s="47"/>
      <c r="D71" s="4" t="s">
        <v>8</v>
      </c>
      <c r="E71" s="148">
        <v>0</v>
      </c>
      <c r="F71" s="149">
        <v>0</v>
      </c>
      <c r="G71" s="109"/>
      <c r="H71" s="107"/>
      <c r="I71" s="79">
        <f t="shared" si="0"/>
        <v>0</v>
      </c>
      <c r="J71" s="109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</row>
    <row r="72" spans="1:23" s="4" customFormat="1">
      <c r="B72" s="4">
        <v>141</v>
      </c>
      <c r="C72" s="47"/>
      <c r="D72" s="4" t="s">
        <v>22</v>
      </c>
      <c r="E72" s="148">
        <v>0</v>
      </c>
      <c r="F72" s="149">
        <v>0</v>
      </c>
      <c r="G72" s="109"/>
      <c r="H72" s="107"/>
      <c r="I72" s="79">
        <f t="shared" si="0"/>
        <v>0</v>
      </c>
      <c r="J72" s="109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</row>
    <row r="73" spans="1:23" s="4" customFormat="1">
      <c r="C73" s="47"/>
      <c r="D73" s="88" t="s">
        <v>411</v>
      </c>
      <c r="E73" s="148"/>
      <c r="F73" s="130">
        <v>0</v>
      </c>
      <c r="G73" s="109">
        <v>800</v>
      </c>
      <c r="H73" s="107">
        <f t="shared" si="1"/>
        <v>0</v>
      </c>
      <c r="I73" s="79">
        <f t="shared" si="0"/>
        <v>0</v>
      </c>
      <c r="J73" s="109">
        <v>800</v>
      </c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</row>
    <row r="74" spans="1:23" s="4" customFormat="1">
      <c r="C74" s="47"/>
      <c r="D74" s="4" t="s">
        <v>420</v>
      </c>
      <c r="E74" s="130"/>
      <c r="F74" s="149">
        <v>3700</v>
      </c>
      <c r="H74" s="107"/>
      <c r="I74" s="79">
        <f t="shared" si="0"/>
        <v>0</v>
      </c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</row>
    <row r="75" spans="1:23" s="4" customFormat="1">
      <c r="C75" s="47"/>
      <c r="E75" s="130"/>
      <c r="F75" s="130"/>
      <c r="H75" s="107"/>
      <c r="I75" s="79">
        <f t="shared" si="0"/>
        <v>0</v>
      </c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</row>
    <row r="76" spans="1:23" s="4" customFormat="1">
      <c r="A76" s="4" t="s">
        <v>342</v>
      </c>
      <c r="B76" s="6" t="s">
        <v>2</v>
      </c>
      <c r="C76" s="46" t="s">
        <v>35</v>
      </c>
      <c r="D76" s="6"/>
      <c r="E76" s="153">
        <f t="shared" ref="E76" si="5">SUM(E59:E72)</f>
        <v>78804</v>
      </c>
      <c r="F76" s="154">
        <f>SUM(F59:F74)</f>
        <v>85331</v>
      </c>
      <c r="G76" s="134">
        <f>SUM(G59:G75)</f>
        <v>92041</v>
      </c>
      <c r="H76" s="174">
        <f t="shared" ref="H76:H139" si="6">(J76-G76)/G76</f>
        <v>0.1941200117339012</v>
      </c>
      <c r="I76" s="175">
        <f t="shared" ref="I76:I139" si="7">J76-G76</f>
        <v>17867</v>
      </c>
      <c r="J76" s="134">
        <f>SUM(J59:J75)</f>
        <v>109908</v>
      </c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</row>
    <row r="77" spans="1:23" s="4" customFormat="1">
      <c r="C77" s="47"/>
      <c r="E77" s="148"/>
      <c r="F77" s="150"/>
      <c r="G77" s="87"/>
      <c r="H77" s="107"/>
      <c r="I77" s="79"/>
      <c r="J77" s="87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</row>
    <row r="78" spans="1:23" s="4" customFormat="1">
      <c r="B78" s="6">
        <v>145</v>
      </c>
      <c r="C78" s="46" t="s">
        <v>36</v>
      </c>
      <c r="D78" s="6"/>
      <c r="E78" s="151"/>
      <c r="F78" s="152"/>
      <c r="G78" s="86"/>
      <c r="H78" s="174"/>
      <c r="I78" s="175"/>
      <c r="J78" s="86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</row>
    <row r="79" spans="1:23" s="4" customFormat="1">
      <c r="B79" s="4">
        <v>145</v>
      </c>
      <c r="C79" s="47">
        <v>5105111</v>
      </c>
      <c r="D79" s="4" t="s">
        <v>37</v>
      </c>
      <c r="E79" s="148">
        <v>31229</v>
      </c>
      <c r="F79" s="149">
        <v>31698</v>
      </c>
      <c r="G79" s="109">
        <f>31698+2500</f>
        <v>34198</v>
      </c>
      <c r="H79" s="107">
        <f t="shared" si="6"/>
        <v>2.9241476109714018E-2</v>
      </c>
      <c r="I79" s="79">
        <f t="shared" si="7"/>
        <v>1000</v>
      </c>
      <c r="J79" s="109">
        <v>35198</v>
      </c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</row>
    <row r="80" spans="1:23" s="4" customFormat="1">
      <c r="B80" s="4">
        <v>145</v>
      </c>
      <c r="C80" s="47">
        <v>5105115</v>
      </c>
      <c r="D80" s="4" t="s">
        <v>371</v>
      </c>
      <c r="E80" s="148">
        <v>24700</v>
      </c>
      <c r="F80" s="149">
        <v>24700</v>
      </c>
      <c r="G80" s="109">
        <v>25000</v>
      </c>
      <c r="H80" s="107">
        <f t="shared" si="6"/>
        <v>9.3663999999999942E-2</v>
      </c>
      <c r="I80" s="79">
        <f t="shared" si="7"/>
        <v>2341.5999999999985</v>
      </c>
      <c r="J80" s="109">
        <v>27341.599999999999</v>
      </c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</row>
    <row r="81" spans="1:23" s="6" customFormat="1">
      <c r="A81" s="4"/>
      <c r="B81" s="4">
        <v>145</v>
      </c>
      <c r="C81" s="47">
        <v>5105110</v>
      </c>
      <c r="D81" s="4" t="s">
        <v>219</v>
      </c>
      <c r="E81" s="148">
        <v>19928</v>
      </c>
      <c r="F81" s="149">
        <v>19928</v>
      </c>
      <c r="G81" s="109">
        <v>19928</v>
      </c>
      <c r="H81" s="107">
        <f t="shared" si="6"/>
        <v>0.15415495784825373</v>
      </c>
      <c r="I81" s="79">
        <f t="shared" si="7"/>
        <v>3072</v>
      </c>
      <c r="J81" s="109">
        <v>23000</v>
      </c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</row>
    <row r="82" spans="1:23" s="6" customFormat="1">
      <c r="A82" s="4"/>
      <c r="B82" s="4">
        <v>145</v>
      </c>
      <c r="C82" s="47"/>
      <c r="D82" s="4" t="s">
        <v>364</v>
      </c>
      <c r="E82" s="148">
        <v>0</v>
      </c>
      <c r="F82" s="149">
        <v>0</v>
      </c>
      <c r="G82" s="109"/>
      <c r="H82" s="107"/>
      <c r="I82" s="79">
        <f t="shared" si="7"/>
        <v>0</v>
      </c>
      <c r="J82" s="109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</row>
    <row r="83" spans="1:23" s="4" customFormat="1">
      <c r="B83" s="4">
        <v>145</v>
      </c>
      <c r="C83" s="47">
        <v>5705407</v>
      </c>
      <c r="D83" s="4" t="s">
        <v>319</v>
      </c>
      <c r="E83" s="148">
        <v>5500</v>
      </c>
      <c r="F83" s="149">
        <v>5500</v>
      </c>
      <c r="G83" s="109">
        <v>5665</v>
      </c>
      <c r="H83" s="107">
        <f t="shared" si="6"/>
        <v>-0.29390997352162401</v>
      </c>
      <c r="I83" s="79">
        <f t="shared" si="7"/>
        <v>-1665</v>
      </c>
      <c r="J83" s="109">
        <v>4000</v>
      </c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</row>
    <row r="84" spans="1:23" s="6" customFormat="1">
      <c r="A84" s="4"/>
      <c r="B84" s="4">
        <v>145</v>
      </c>
      <c r="C84" s="47">
        <v>5705420</v>
      </c>
      <c r="D84" s="4" t="s">
        <v>6</v>
      </c>
      <c r="E84" s="148">
        <v>1000</v>
      </c>
      <c r="F84" s="149">
        <v>1000</v>
      </c>
      <c r="G84" s="109">
        <v>1200</v>
      </c>
      <c r="H84" s="107">
        <f t="shared" si="6"/>
        <v>0</v>
      </c>
      <c r="I84" s="79">
        <f t="shared" si="7"/>
        <v>0</v>
      </c>
      <c r="J84" s="109">
        <v>1200</v>
      </c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</row>
    <row r="85" spans="1:23" s="4" customFormat="1">
      <c r="B85" s="4">
        <v>145</v>
      </c>
      <c r="C85" s="47">
        <v>5705700</v>
      </c>
      <c r="D85" s="4" t="s">
        <v>215</v>
      </c>
      <c r="E85" s="148">
        <v>5215</v>
      </c>
      <c r="F85" s="149">
        <v>6315</v>
      </c>
      <c r="G85" s="109">
        <v>6700</v>
      </c>
      <c r="H85" s="107">
        <f t="shared" si="6"/>
        <v>-0.2537313432835821</v>
      </c>
      <c r="I85" s="79">
        <f t="shared" si="7"/>
        <v>-1700</v>
      </c>
      <c r="J85" s="109">
        <v>5000</v>
      </c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</row>
    <row r="86" spans="1:23" s="4" customFormat="1">
      <c r="B86" s="4">
        <v>145</v>
      </c>
      <c r="C86" s="47">
        <v>5705336</v>
      </c>
      <c r="D86" s="4" t="s">
        <v>310</v>
      </c>
      <c r="E86" s="148">
        <v>7250</v>
      </c>
      <c r="F86" s="149">
        <v>8000</v>
      </c>
      <c r="G86" s="109">
        <v>8200</v>
      </c>
      <c r="H86" s="107">
        <f t="shared" si="6"/>
        <v>9.7560975609756101E-2</v>
      </c>
      <c r="I86" s="79">
        <f t="shared" si="7"/>
        <v>800</v>
      </c>
      <c r="J86" s="109">
        <v>9000</v>
      </c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</row>
    <row r="87" spans="1:23" s="4" customFormat="1">
      <c r="B87" s="4">
        <v>145</v>
      </c>
      <c r="C87" s="47"/>
      <c r="D87" s="4" t="s">
        <v>22</v>
      </c>
      <c r="E87" s="148">
        <v>0</v>
      </c>
      <c r="F87" s="149"/>
      <c r="G87" s="109">
        <v>0</v>
      </c>
      <c r="H87" s="107"/>
      <c r="I87" s="79">
        <f t="shared" si="7"/>
        <v>0</v>
      </c>
      <c r="J87" s="109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</row>
    <row r="88" spans="1:23" s="4" customFormat="1">
      <c r="B88" s="4">
        <v>145</v>
      </c>
      <c r="C88" s="47"/>
      <c r="D88" s="4" t="s">
        <v>400</v>
      </c>
      <c r="E88" s="156"/>
      <c r="F88" s="157"/>
      <c r="G88" s="109"/>
      <c r="H88" s="107"/>
      <c r="I88" s="79">
        <f t="shared" si="7"/>
        <v>1000</v>
      </c>
      <c r="J88" s="109">
        <v>1000</v>
      </c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</row>
    <row r="89" spans="1:23" s="4" customFormat="1">
      <c r="A89" s="4" t="s">
        <v>342</v>
      </c>
      <c r="B89" s="6" t="s">
        <v>2</v>
      </c>
      <c r="C89" s="46" t="s">
        <v>41</v>
      </c>
      <c r="D89" s="6"/>
      <c r="E89" s="153">
        <f>SUM(E79:E87)</f>
        <v>94822</v>
      </c>
      <c r="F89" s="154">
        <f>SUM(F79:F87)</f>
        <v>97141</v>
      </c>
      <c r="G89" s="110">
        <f>SUM(G79:G87)</f>
        <v>100891</v>
      </c>
      <c r="H89" s="174">
        <f t="shared" si="6"/>
        <v>4.8057804957825828E-2</v>
      </c>
      <c r="I89" s="175">
        <f t="shared" si="7"/>
        <v>4848.6000000000058</v>
      </c>
      <c r="J89" s="110">
        <f>SUM(J79:J88)</f>
        <v>105739.6</v>
      </c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</row>
    <row r="90" spans="1:23" s="6" customFormat="1">
      <c r="A90" s="4"/>
      <c r="B90" s="4"/>
      <c r="C90" s="47"/>
      <c r="D90" s="4"/>
      <c r="E90" s="148"/>
      <c r="F90" s="150"/>
      <c r="G90" s="87"/>
      <c r="H90" s="107"/>
      <c r="I90" s="79"/>
      <c r="J90" s="87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</row>
    <row r="91" spans="1:23" s="4" customFormat="1">
      <c r="B91" s="6">
        <v>146</v>
      </c>
      <c r="C91" s="46" t="s">
        <v>42</v>
      </c>
      <c r="D91" s="6"/>
      <c r="E91" s="151"/>
      <c r="F91" s="152"/>
      <c r="G91" s="86"/>
      <c r="H91" s="174"/>
      <c r="I91" s="175"/>
      <c r="J91" s="86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</row>
    <row r="92" spans="1:23" s="6" customFormat="1">
      <c r="A92" s="4"/>
      <c r="B92" s="4">
        <v>146</v>
      </c>
      <c r="C92" s="47">
        <v>5105111</v>
      </c>
      <c r="D92" s="4" t="s">
        <v>43</v>
      </c>
      <c r="E92" s="148">
        <v>31229</v>
      </c>
      <c r="F92" s="149">
        <v>31698</v>
      </c>
      <c r="G92" s="109">
        <f>31698+2500</f>
        <v>34198</v>
      </c>
      <c r="H92" s="107">
        <f t="shared" si="6"/>
        <v>2.9241476109714018E-2</v>
      </c>
      <c r="I92" s="79">
        <f t="shared" si="7"/>
        <v>1000</v>
      </c>
      <c r="J92" s="109">
        <v>35198</v>
      </c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</row>
    <row r="93" spans="1:23" s="4" customFormat="1">
      <c r="B93" s="4">
        <v>146</v>
      </c>
      <c r="C93" s="47">
        <v>5105110</v>
      </c>
      <c r="D93" s="4" t="s">
        <v>12</v>
      </c>
      <c r="E93" s="148">
        <v>29892</v>
      </c>
      <c r="F93" s="149">
        <v>31508</v>
      </c>
      <c r="G93" s="109">
        <v>31508</v>
      </c>
      <c r="H93" s="107">
        <f t="shared" si="6"/>
        <v>-0.15894376031484067</v>
      </c>
      <c r="I93" s="79">
        <f t="shared" si="7"/>
        <v>-5008</v>
      </c>
      <c r="J93" s="109">
        <v>26500</v>
      </c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</row>
    <row r="94" spans="1:23" s="4" customFormat="1">
      <c r="B94" s="4">
        <v>146</v>
      </c>
      <c r="C94" s="47"/>
      <c r="D94" s="4" t="s">
        <v>364</v>
      </c>
      <c r="E94" s="148"/>
      <c r="F94" s="149">
        <v>0</v>
      </c>
      <c r="G94" s="109"/>
      <c r="H94" s="107"/>
      <c r="I94" s="79">
        <f t="shared" si="7"/>
        <v>0</v>
      </c>
      <c r="J94" s="109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</row>
    <row r="95" spans="1:23" s="4" customFormat="1">
      <c r="B95" s="4">
        <v>146</v>
      </c>
      <c r="C95" s="47">
        <v>5705407</v>
      </c>
      <c r="D95" s="4" t="s">
        <v>319</v>
      </c>
      <c r="E95" s="148">
        <v>7500</v>
      </c>
      <c r="F95" s="149">
        <v>8900</v>
      </c>
      <c r="G95" s="109">
        <v>9100</v>
      </c>
      <c r="H95" s="107">
        <f t="shared" si="6"/>
        <v>9.8901098901098897E-2</v>
      </c>
      <c r="I95" s="79">
        <f t="shared" si="7"/>
        <v>900</v>
      </c>
      <c r="J95" s="109">
        <v>10000</v>
      </c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</row>
    <row r="96" spans="1:23" s="4" customFormat="1">
      <c r="B96" s="4">
        <v>146</v>
      </c>
      <c r="C96" s="47">
        <v>5705420</v>
      </c>
      <c r="D96" s="4" t="s">
        <v>6</v>
      </c>
      <c r="E96" s="148">
        <v>1250</v>
      </c>
      <c r="F96" s="149">
        <v>1250</v>
      </c>
      <c r="G96" s="109">
        <v>1500</v>
      </c>
      <c r="H96" s="107">
        <f t="shared" si="6"/>
        <v>0</v>
      </c>
      <c r="I96" s="79">
        <f t="shared" si="7"/>
        <v>0</v>
      </c>
      <c r="J96" s="109">
        <v>1500</v>
      </c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</row>
    <row r="97" spans="1:23" s="6" customFormat="1">
      <c r="A97" s="4"/>
      <c r="B97" s="4">
        <v>146</v>
      </c>
      <c r="C97" s="47">
        <v>5705700</v>
      </c>
      <c r="D97" s="4" t="s">
        <v>215</v>
      </c>
      <c r="E97" s="148">
        <v>3215</v>
      </c>
      <c r="F97" s="149">
        <v>3615</v>
      </c>
      <c r="G97" s="109">
        <v>4000</v>
      </c>
      <c r="H97" s="107">
        <f t="shared" si="6"/>
        <v>0</v>
      </c>
      <c r="I97" s="79">
        <f t="shared" si="7"/>
        <v>0</v>
      </c>
      <c r="J97" s="109">
        <v>4000</v>
      </c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</row>
    <row r="98" spans="1:23" s="4" customFormat="1">
      <c r="B98" s="4">
        <v>146</v>
      </c>
      <c r="C98" s="47"/>
      <c r="D98" s="4" t="s">
        <v>398</v>
      </c>
      <c r="E98" s="148">
        <v>1000</v>
      </c>
      <c r="F98" s="149">
        <v>1000</v>
      </c>
      <c r="G98" s="109">
        <v>1000</v>
      </c>
      <c r="H98" s="107">
        <f t="shared" si="6"/>
        <v>0</v>
      </c>
      <c r="I98" s="79">
        <f t="shared" si="7"/>
        <v>0</v>
      </c>
      <c r="J98" s="109">
        <v>1000</v>
      </c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</row>
    <row r="99" spans="1:23" s="6" customFormat="1">
      <c r="A99" s="4"/>
      <c r="B99" s="4"/>
      <c r="C99" s="47"/>
      <c r="D99" s="4" t="s">
        <v>400</v>
      </c>
      <c r="E99" s="148"/>
      <c r="F99" s="149">
        <v>850</v>
      </c>
      <c r="G99" s="109">
        <v>900</v>
      </c>
      <c r="H99" s="107">
        <f t="shared" si="6"/>
        <v>0.1111111111111111</v>
      </c>
      <c r="I99" s="79">
        <f t="shared" si="7"/>
        <v>100</v>
      </c>
      <c r="J99" s="109">
        <v>1000</v>
      </c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</row>
    <row r="100" spans="1:23" s="4" customFormat="1">
      <c r="A100" s="4" t="s">
        <v>342</v>
      </c>
      <c r="B100" s="6" t="s">
        <v>2</v>
      </c>
      <c r="C100" s="46" t="s">
        <v>44</v>
      </c>
      <c r="D100" s="6"/>
      <c r="E100" s="153">
        <f t="shared" ref="E100" si="8">SUM(E92:E98)</f>
        <v>74086</v>
      </c>
      <c r="F100" s="154">
        <f>SUM(F92:F99)</f>
        <v>78821</v>
      </c>
      <c r="G100" s="110">
        <f>SUM(G92:G99)</f>
        <v>82206</v>
      </c>
      <c r="H100" s="174">
        <f t="shared" si="6"/>
        <v>-3.6591003089798797E-2</v>
      </c>
      <c r="I100" s="175">
        <f t="shared" si="7"/>
        <v>-3008</v>
      </c>
      <c r="J100" s="110">
        <f>SUM(J92:J99)</f>
        <v>79198</v>
      </c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</row>
    <row r="101" spans="1:23" s="4" customFormat="1">
      <c r="C101" s="47"/>
      <c r="E101" s="148"/>
      <c r="F101" s="150"/>
      <c r="G101" s="87"/>
      <c r="H101" s="107"/>
      <c r="I101" s="79"/>
      <c r="J101" s="87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</row>
    <row r="102" spans="1:23" s="4" customFormat="1">
      <c r="B102" s="6">
        <v>151</v>
      </c>
      <c r="C102" s="46" t="s">
        <v>45</v>
      </c>
      <c r="D102" s="6"/>
      <c r="E102" s="151"/>
      <c r="F102" s="152"/>
      <c r="G102" s="86"/>
      <c r="H102" s="174"/>
      <c r="I102" s="175"/>
      <c r="J102" s="86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</row>
    <row r="103" spans="1:23" s="4" customFormat="1">
      <c r="B103" s="4">
        <v>151</v>
      </c>
      <c r="C103" s="47">
        <v>5705300</v>
      </c>
      <c r="D103" s="4" t="s">
        <v>39</v>
      </c>
      <c r="E103" s="148">
        <v>40000</v>
      </c>
      <c r="F103" s="149">
        <v>46568</v>
      </c>
      <c r="G103" s="112">
        <v>75000</v>
      </c>
      <c r="H103" s="107">
        <f t="shared" si="6"/>
        <v>-0.26666666666666666</v>
      </c>
      <c r="I103" s="79">
        <f t="shared" si="7"/>
        <v>-20000</v>
      </c>
      <c r="J103" s="112">
        <v>55000</v>
      </c>
      <c r="K103" s="190"/>
      <c r="L103" s="187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</row>
    <row r="104" spans="1:23" s="4" customFormat="1">
      <c r="B104" s="4">
        <v>151</v>
      </c>
      <c r="C104" s="47"/>
      <c r="D104" s="4" t="s">
        <v>46</v>
      </c>
      <c r="E104" s="148">
        <v>0</v>
      </c>
      <c r="F104" s="149">
        <v>0</v>
      </c>
      <c r="G104" s="109"/>
      <c r="H104" s="107"/>
      <c r="I104" s="79">
        <f t="shared" si="7"/>
        <v>0</v>
      </c>
      <c r="J104" s="109"/>
      <c r="K104" s="88"/>
      <c r="L104" s="187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</row>
    <row r="105" spans="1:23" s="4" customFormat="1">
      <c r="C105" s="47"/>
      <c r="E105" s="148"/>
      <c r="F105" s="150"/>
      <c r="G105" s="87"/>
      <c r="H105" s="107"/>
      <c r="I105" s="79">
        <f t="shared" si="7"/>
        <v>0</v>
      </c>
      <c r="J105" s="87"/>
      <c r="K105" s="88"/>
      <c r="L105" s="187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</row>
    <row r="106" spans="1:23" s="4" customFormat="1">
      <c r="A106" s="4" t="s">
        <v>342</v>
      </c>
      <c r="B106" s="6" t="s">
        <v>2</v>
      </c>
      <c r="C106" s="46" t="s">
        <v>47</v>
      </c>
      <c r="D106" s="6"/>
      <c r="E106" s="153">
        <f t="shared" ref="E106:F106" si="9">SUM(E103:E104)</f>
        <v>40000</v>
      </c>
      <c r="F106" s="154">
        <f t="shared" si="9"/>
        <v>46568</v>
      </c>
      <c r="G106" s="110">
        <f>SUM(G103:G105)</f>
        <v>75000</v>
      </c>
      <c r="H106" s="174">
        <f t="shared" si="6"/>
        <v>-0.26666666666666666</v>
      </c>
      <c r="I106" s="175">
        <f t="shared" si="7"/>
        <v>-20000</v>
      </c>
      <c r="J106" s="110">
        <f>SUM(J103:J105)</f>
        <v>55000</v>
      </c>
      <c r="K106" s="88"/>
      <c r="L106" s="187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</row>
    <row r="107" spans="1:23" s="4" customFormat="1">
      <c r="C107" s="47"/>
      <c r="E107" s="148"/>
      <c r="F107" s="150"/>
      <c r="G107" s="87"/>
      <c r="H107" s="107"/>
      <c r="I107" s="79"/>
      <c r="J107" s="87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</row>
    <row r="108" spans="1:23" s="4" customFormat="1">
      <c r="B108" s="6">
        <v>152</v>
      </c>
      <c r="C108" s="46" t="s">
        <v>48</v>
      </c>
      <c r="D108" s="6"/>
      <c r="E108" s="151"/>
      <c r="F108" s="152"/>
      <c r="G108" s="86"/>
      <c r="H108" s="174"/>
      <c r="I108" s="175"/>
      <c r="J108" s="86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</row>
    <row r="109" spans="1:23" s="4" customFormat="1">
      <c r="B109" s="4">
        <v>152</v>
      </c>
      <c r="C109" s="47"/>
      <c r="D109" s="4" t="s">
        <v>49</v>
      </c>
      <c r="E109" s="148">
        <v>0</v>
      </c>
      <c r="F109" s="149">
        <v>0</v>
      </c>
      <c r="G109" s="109">
        <v>0</v>
      </c>
      <c r="H109" s="107"/>
      <c r="I109" s="79">
        <f t="shared" si="7"/>
        <v>0</v>
      </c>
      <c r="J109" s="109">
        <v>0</v>
      </c>
      <c r="K109" s="88"/>
      <c r="L109" s="186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</row>
    <row r="110" spans="1:23" s="4" customFormat="1">
      <c r="B110" s="4">
        <v>152</v>
      </c>
      <c r="C110" s="47">
        <v>5705275</v>
      </c>
      <c r="D110" s="4" t="s">
        <v>50</v>
      </c>
      <c r="E110" s="148">
        <v>25000</v>
      </c>
      <c r="F110" s="149">
        <v>25794</v>
      </c>
      <c r="G110" s="109">
        <v>25794</v>
      </c>
      <c r="H110" s="107">
        <f t="shared" si="6"/>
        <v>0</v>
      </c>
      <c r="I110" s="79">
        <f t="shared" si="7"/>
        <v>0</v>
      </c>
      <c r="J110" s="109">
        <v>25794</v>
      </c>
      <c r="K110" s="88"/>
      <c r="L110" s="185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</row>
    <row r="111" spans="1:23" s="4" customFormat="1">
      <c r="B111" s="4">
        <v>152</v>
      </c>
      <c r="C111" s="47">
        <v>5705275</v>
      </c>
      <c r="D111" s="4" t="s">
        <v>283</v>
      </c>
      <c r="E111" s="148">
        <v>16000</v>
      </c>
      <c r="F111" s="149">
        <v>17000</v>
      </c>
      <c r="G111" s="109">
        <v>17000</v>
      </c>
      <c r="H111" s="107">
        <f t="shared" si="6"/>
        <v>0</v>
      </c>
      <c r="I111" s="79">
        <f t="shared" si="7"/>
        <v>0</v>
      </c>
      <c r="J111" s="109">
        <v>17000</v>
      </c>
      <c r="K111" s="88"/>
      <c r="L111" s="185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</row>
    <row r="112" spans="1:23" s="6" customFormat="1">
      <c r="A112" s="4"/>
      <c r="B112" s="4">
        <v>152</v>
      </c>
      <c r="C112" s="47">
        <v>5705303</v>
      </c>
      <c r="D112" s="4" t="s">
        <v>51</v>
      </c>
      <c r="E112" s="148">
        <v>10800</v>
      </c>
      <c r="F112" s="149">
        <v>10800</v>
      </c>
      <c r="G112" s="109">
        <v>10800</v>
      </c>
      <c r="H112" s="107">
        <f t="shared" si="6"/>
        <v>0</v>
      </c>
      <c r="I112" s="79">
        <f t="shared" si="7"/>
        <v>0</v>
      </c>
      <c r="J112" s="109">
        <v>10800</v>
      </c>
      <c r="K112" s="88"/>
      <c r="L112" s="185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</row>
    <row r="113" spans="1:23" s="4" customFormat="1">
      <c r="B113" s="4">
        <v>152</v>
      </c>
      <c r="C113" s="47">
        <v>5705350</v>
      </c>
      <c r="D113" s="4" t="s">
        <v>227</v>
      </c>
      <c r="E113" s="148">
        <v>9900</v>
      </c>
      <c r="F113" s="149">
        <v>10000</v>
      </c>
      <c r="G113" s="109">
        <v>10000</v>
      </c>
      <c r="H113" s="107">
        <f t="shared" si="6"/>
        <v>0</v>
      </c>
      <c r="I113" s="79">
        <f t="shared" si="7"/>
        <v>0</v>
      </c>
      <c r="J113" s="109">
        <v>10000</v>
      </c>
      <c r="K113" s="190"/>
      <c r="L113" s="185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</row>
    <row r="114" spans="1:23" s="6" customFormat="1">
      <c r="A114" s="4"/>
      <c r="B114" s="4">
        <v>152</v>
      </c>
      <c r="C114" s="47">
        <v>5705250</v>
      </c>
      <c r="D114" s="4" t="s">
        <v>52</v>
      </c>
      <c r="E114" s="148">
        <v>1750</v>
      </c>
      <c r="F114" s="149">
        <v>4724</v>
      </c>
      <c r="G114" s="109">
        <v>4724</v>
      </c>
      <c r="H114" s="107">
        <f t="shared" si="6"/>
        <v>0</v>
      </c>
      <c r="I114" s="79">
        <f t="shared" si="7"/>
        <v>0</v>
      </c>
      <c r="J114" s="109">
        <v>4724</v>
      </c>
      <c r="K114" s="88"/>
      <c r="L114" s="185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</row>
    <row r="115" spans="1:23" s="4" customFormat="1">
      <c r="B115" s="4">
        <v>152</v>
      </c>
      <c r="C115" s="47"/>
      <c r="D115" s="4" t="s">
        <v>20</v>
      </c>
      <c r="E115" s="148">
        <v>0</v>
      </c>
      <c r="F115" s="149">
        <v>0</v>
      </c>
      <c r="G115" s="109"/>
      <c r="H115" s="107"/>
      <c r="I115" s="79">
        <f t="shared" si="7"/>
        <v>0</v>
      </c>
      <c r="J115" s="109"/>
      <c r="K115" s="88"/>
      <c r="L115" s="185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</row>
    <row r="116" spans="1:23" s="4" customFormat="1">
      <c r="B116" s="4">
        <v>152</v>
      </c>
      <c r="C116" s="47"/>
      <c r="D116" s="4" t="s">
        <v>229</v>
      </c>
      <c r="E116" s="148">
        <v>0</v>
      </c>
      <c r="F116" s="149">
        <v>0</v>
      </c>
      <c r="G116" s="109"/>
      <c r="H116" s="107"/>
      <c r="I116" s="79">
        <f t="shared" si="7"/>
        <v>0</v>
      </c>
      <c r="J116" s="109"/>
      <c r="K116" s="88"/>
      <c r="L116" s="185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</row>
    <row r="117" spans="1:23" s="4" customFormat="1">
      <c r="B117" s="4">
        <v>152</v>
      </c>
      <c r="C117" s="47">
        <v>5705491</v>
      </c>
      <c r="D117" s="4" t="s">
        <v>230</v>
      </c>
      <c r="E117" s="148">
        <v>16000</v>
      </c>
      <c r="F117" s="149">
        <v>17000</v>
      </c>
      <c r="G117" s="109">
        <v>17000</v>
      </c>
      <c r="H117" s="107">
        <f t="shared" si="6"/>
        <v>5.8823529411764705E-2</v>
      </c>
      <c r="I117" s="79">
        <f t="shared" si="7"/>
        <v>1000</v>
      </c>
      <c r="J117" s="109">
        <v>18000</v>
      </c>
      <c r="K117" s="88"/>
      <c r="L117" s="185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</row>
    <row r="118" spans="1:23" s="4" customFormat="1">
      <c r="B118" s="4">
        <v>152</v>
      </c>
      <c r="C118" s="47">
        <v>5705340</v>
      </c>
      <c r="D118" s="4" t="s">
        <v>228</v>
      </c>
      <c r="E118" s="148">
        <v>3500</v>
      </c>
      <c r="F118" s="149">
        <v>3500</v>
      </c>
      <c r="G118" s="109">
        <v>3500</v>
      </c>
      <c r="H118" s="107">
        <f t="shared" si="6"/>
        <v>0.22857142857142856</v>
      </c>
      <c r="I118" s="79">
        <f t="shared" si="7"/>
        <v>800</v>
      </c>
      <c r="J118" s="109">
        <v>4300</v>
      </c>
      <c r="K118" s="88"/>
      <c r="L118" s="185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</row>
    <row r="119" spans="1:23" s="4" customFormat="1">
      <c r="B119" s="4">
        <v>152</v>
      </c>
      <c r="C119" s="47"/>
      <c r="D119" s="4" t="s">
        <v>401</v>
      </c>
      <c r="E119" s="148">
        <v>0</v>
      </c>
      <c r="F119" s="149">
        <v>5000</v>
      </c>
      <c r="G119" s="109">
        <v>5000</v>
      </c>
      <c r="H119" s="107">
        <f t="shared" si="6"/>
        <v>0</v>
      </c>
      <c r="I119" s="79">
        <f t="shared" si="7"/>
        <v>0</v>
      </c>
      <c r="J119" s="109">
        <v>5000</v>
      </c>
      <c r="K119" s="88"/>
      <c r="L119" s="185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</row>
    <row r="120" spans="1:23" s="6" customFormat="1">
      <c r="A120" s="4"/>
      <c r="B120" s="4"/>
      <c r="C120" s="47"/>
      <c r="D120" s="4" t="s">
        <v>452</v>
      </c>
      <c r="E120" s="148"/>
      <c r="F120" s="149"/>
      <c r="G120" s="109"/>
      <c r="H120" s="107"/>
      <c r="I120" s="79">
        <f t="shared" si="7"/>
        <v>3000</v>
      </c>
      <c r="J120" s="109">
        <v>3000</v>
      </c>
      <c r="K120" s="88"/>
      <c r="L120" s="186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</row>
    <row r="121" spans="1:23" s="4" customFormat="1">
      <c r="A121" s="4" t="s">
        <v>342</v>
      </c>
      <c r="B121" s="6" t="s">
        <v>2</v>
      </c>
      <c r="C121" s="46" t="s">
        <v>54</v>
      </c>
      <c r="D121" s="6"/>
      <c r="E121" s="153">
        <f t="shared" ref="E121:F121" si="10">SUM(E109:E119)</f>
        <v>82950</v>
      </c>
      <c r="F121" s="154">
        <f t="shared" si="10"/>
        <v>93818</v>
      </c>
      <c r="G121" s="110">
        <f>SUM(G109:G120)</f>
        <v>93818</v>
      </c>
      <c r="H121" s="174">
        <f t="shared" si="6"/>
        <v>5.1162889850561728E-2</v>
      </c>
      <c r="I121" s="175">
        <f t="shared" si="7"/>
        <v>4800</v>
      </c>
      <c r="J121" s="110">
        <f>SUM(J109:J120)</f>
        <v>98618</v>
      </c>
      <c r="K121" s="88"/>
      <c r="L121" s="185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</row>
    <row r="122" spans="1:23" s="6" customFormat="1">
      <c r="A122" s="4"/>
      <c r="B122" s="4"/>
      <c r="C122" s="47"/>
      <c r="D122" s="4"/>
      <c r="E122" s="148"/>
      <c r="F122" s="150"/>
      <c r="G122" s="87"/>
      <c r="H122" s="107"/>
      <c r="I122" s="79"/>
      <c r="J122" s="87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</row>
    <row r="123" spans="1:23" s="4" customFormat="1">
      <c r="B123" s="6">
        <v>161</v>
      </c>
      <c r="C123" s="46" t="s">
        <v>55</v>
      </c>
      <c r="D123" s="6"/>
      <c r="E123" s="151"/>
      <c r="F123" s="152"/>
      <c r="G123" s="86"/>
      <c r="H123" s="174"/>
      <c r="I123" s="175"/>
      <c r="J123" s="86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</row>
    <row r="124" spans="1:23" s="4" customFormat="1">
      <c r="B124" s="4">
        <v>161</v>
      </c>
      <c r="C124" s="47">
        <v>5105111</v>
      </c>
      <c r="D124" s="4" t="s">
        <v>56</v>
      </c>
      <c r="E124" s="148">
        <v>31229</v>
      </c>
      <c r="F124" s="149">
        <v>31698</v>
      </c>
      <c r="G124" s="109">
        <f>31698+2500</f>
        <v>34198</v>
      </c>
      <c r="H124" s="107">
        <f t="shared" si="6"/>
        <v>2.9241476109714018E-2</v>
      </c>
      <c r="I124" s="79">
        <f t="shared" si="7"/>
        <v>1000</v>
      </c>
      <c r="J124" s="109">
        <v>35198</v>
      </c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</row>
    <row r="125" spans="1:23" s="4" customFormat="1">
      <c r="B125" s="4">
        <v>161</v>
      </c>
      <c r="C125" s="47">
        <v>5105110</v>
      </c>
      <c r="D125" s="4" t="s">
        <v>12</v>
      </c>
      <c r="E125" s="148">
        <v>20455</v>
      </c>
      <c r="F125" s="149">
        <v>21542</v>
      </c>
      <c r="G125" s="109">
        <v>24000</v>
      </c>
      <c r="H125" s="107">
        <f t="shared" si="6"/>
        <v>0.12916666666666668</v>
      </c>
      <c r="I125" s="79">
        <f t="shared" si="7"/>
        <v>3100</v>
      </c>
      <c r="J125" s="109">
        <v>27100</v>
      </c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</row>
    <row r="126" spans="1:23" s="4" customFormat="1">
      <c r="B126" s="4">
        <v>161</v>
      </c>
      <c r="C126" s="47"/>
      <c r="D126" s="4" t="s">
        <v>457</v>
      </c>
      <c r="E126" s="148">
        <v>1718</v>
      </c>
      <c r="F126" s="149">
        <v>0</v>
      </c>
      <c r="G126" s="109">
        <v>0</v>
      </c>
      <c r="H126" s="107"/>
      <c r="I126" s="79">
        <f t="shared" si="7"/>
        <v>250</v>
      </c>
      <c r="J126" s="109">
        <v>250</v>
      </c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</row>
    <row r="127" spans="1:23" s="4" customFormat="1">
      <c r="B127" s="4">
        <v>161</v>
      </c>
      <c r="C127" s="47">
        <v>5705407</v>
      </c>
      <c r="D127" s="4" t="s">
        <v>319</v>
      </c>
      <c r="E127" s="148">
        <v>500</v>
      </c>
      <c r="F127" s="149">
        <v>600</v>
      </c>
      <c r="G127" s="109">
        <v>750</v>
      </c>
      <c r="H127" s="107">
        <f t="shared" si="6"/>
        <v>0.33333333333333331</v>
      </c>
      <c r="I127" s="79">
        <f t="shared" si="7"/>
        <v>250</v>
      </c>
      <c r="J127" s="109">
        <v>1000</v>
      </c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</row>
    <row r="128" spans="1:23" s="6" customFormat="1">
      <c r="A128" s="4"/>
      <c r="B128" s="4">
        <v>161</v>
      </c>
      <c r="C128" s="47">
        <v>5705426</v>
      </c>
      <c r="D128" s="4" t="s">
        <v>318</v>
      </c>
      <c r="E128" s="148">
        <v>1450</v>
      </c>
      <c r="F128" s="149">
        <v>1450</v>
      </c>
      <c r="G128" s="109">
        <v>1450</v>
      </c>
      <c r="H128" s="107">
        <f t="shared" si="6"/>
        <v>0</v>
      </c>
      <c r="I128" s="79">
        <f t="shared" si="7"/>
        <v>0</v>
      </c>
      <c r="J128" s="109">
        <v>1450</v>
      </c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</row>
    <row r="129" spans="1:23" s="4" customFormat="1">
      <c r="B129" s="4">
        <v>161</v>
      </c>
      <c r="C129" s="47">
        <v>5705703</v>
      </c>
      <c r="D129" s="4" t="s">
        <v>320</v>
      </c>
      <c r="E129" s="148">
        <v>2350</v>
      </c>
      <c r="F129" s="149">
        <v>3100</v>
      </c>
      <c r="G129" s="109">
        <v>3200</v>
      </c>
      <c r="H129" s="107">
        <f t="shared" si="6"/>
        <v>6.25E-2</v>
      </c>
      <c r="I129" s="79">
        <f t="shared" si="7"/>
        <v>200</v>
      </c>
      <c r="J129" s="109">
        <v>3400</v>
      </c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</row>
    <row r="130" spans="1:23" s="6" customFormat="1">
      <c r="A130" s="4"/>
      <c r="B130" s="4">
        <v>161</v>
      </c>
      <c r="C130" s="47">
        <v>5705700</v>
      </c>
      <c r="D130" s="4" t="s">
        <v>215</v>
      </c>
      <c r="E130" s="148">
        <v>1000</v>
      </c>
      <c r="F130" s="149">
        <v>1000</v>
      </c>
      <c r="G130" s="109">
        <v>1300</v>
      </c>
      <c r="H130" s="107">
        <f t="shared" si="6"/>
        <v>0.15384615384615385</v>
      </c>
      <c r="I130" s="79">
        <f t="shared" si="7"/>
        <v>200</v>
      </c>
      <c r="J130" s="109">
        <v>1500</v>
      </c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</row>
    <row r="131" spans="1:23" s="4" customFormat="1">
      <c r="B131" s="4">
        <v>161</v>
      </c>
      <c r="C131" s="47"/>
      <c r="D131" s="4" t="s">
        <v>7</v>
      </c>
      <c r="E131" s="148"/>
      <c r="F131" s="149">
        <v>0</v>
      </c>
      <c r="G131" s="109"/>
      <c r="H131" s="107"/>
      <c r="I131" s="79">
        <f t="shared" si="7"/>
        <v>0</v>
      </c>
      <c r="J131" s="109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</row>
    <row r="132" spans="1:23" s="4" customFormat="1">
      <c r="B132" s="4">
        <v>161</v>
      </c>
      <c r="C132" s="47">
        <v>5705731</v>
      </c>
      <c r="D132" s="4" t="s">
        <v>8</v>
      </c>
      <c r="E132" s="148">
        <v>400</v>
      </c>
      <c r="F132" s="149">
        <v>550</v>
      </c>
      <c r="G132" s="109">
        <v>550</v>
      </c>
      <c r="H132" s="107">
        <f t="shared" si="6"/>
        <v>0.18181818181818182</v>
      </c>
      <c r="I132" s="79">
        <f t="shared" si="7"/>
        <v>100</v>
      </c>
      <c r="J132" s="109">
        <v>650</v>
      </c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</row>
    <row r="133" spans="1:23" s="4" customFormat="1">
      <c r="B133" s="4">
        <v>161</v>
      </c>
      <c r="C133" s="47">
        <v>5705850</v>
      </c>
      <c r="D133" s="4" t="s">
        <v>22</v>
      </c>
      <c r="E133" s="148">
        <v>1000</v>
      </c>
      <c r="F133" s="149">
        <v>1000</v>
      </c>
      <c r="G133" s="109">
        <v>1000</v>
      </c>
      <c r="H133" s="107">
        <f t="shared" si="6"/>
        <v>-1</v>
      </c>
      <c r="I133" s="79">
        <f t="shared" si="7"/>
        <v>-1000</v>
      </c>
      <c r="J133" s="109">
        <v>0</v>
      </c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</row>
    <row r="134" spans="1:23" s="4" customFormat="1">
      <c r="C134" s="47"/>
      <c r="E134" s="148"/>
      <c r="F134" s="149"/>
      <c r="G134" s="109"/>
      <c r="H134" s="107"/>
      <c r="I134" s="79">
        <f t="shared" si="7"/>
        <v>0</v>
      </c>
      <c r="J134" s="109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</row>
    <row r="135" spans="1:23" s="4" customFormat="1">
      <c r="C135" s="47"/>
      <c r="E135" s="156"/>
      <c r="F135" s="158"/>
      <c r="G135" s="109"/>
      <c r="H135" s="107"/>
      <c r="I135" s="79">
        <f t="shared" si="7"/>
        <v>0</v>
      </c>
      <c r="J135" s="109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</row>
    <row r="136" spans="1:23" s="4" customFormat="1">
      <c r="A136" s="4" t="s">
        <v>342</v>
      </c>
      <c r="B136" s="6" t="s">
        <v>2</v>
      </c>
      <c r="C136" s="46" t="s">
        <v>57</v>
      </c>
      <c r="D136" s="6"/>
      <c r="E136" s="153">
        <f>SUM(E124:E133)</f>
        <v>60102</v>
      </c>
      <c r="F136" s="154">
        <f>SUM(F124:F133)</f>
        <v>60940</v>
      </c>
      <c r="G136" s="110">
        <f>SUM(G124:G135)</f>
        <v>66448</v>
      </c>
      <c r="H136" s="174">
        <f t="shared" si="6"/>
        <v>6.1702383818926079E-2</v>
      </c>
      <c r="I136" s="175">
        <f t="shared" si="7"/>
        <v>4100</v>
      </c>
      <c r="J136" s="110">
        <f>SUM(J124:J135)</f>
        <v>70548</v>
      </c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</row>
    <row r="137" spans="1:23" s="4" customFormat="1">
      <c r="B137" s="47"/>
      <c r="C137" s="47"/>
      <c r="E137" s="148"/>
      <c r="F137" s="150"/>
      <c r="G137" s="87"/>
      <c r="H137" s="107"/>
      <c r="I137" s="79"/>
      <c r="J137" s="87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</row>
    <row r="138" spans="1:23" s="4" customFormat="1">
      <c r="B138" s="6">
        <v>162</v>
      </c>
      <c r="C138" s="46" t="s">
        <v>220</v>
      </c>
      <c r="D138" s="6"/>
      <c r="E138" s="151"/>
      <c r="F138" s="152"/>
      <c r="G138" s="86"/>
      <c r="H138" s="174"/>
      <c r="I138" s="175"/>
      <c r="J138" s="86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</row>
    <row r="139" spans="1:23" s="4" customFormat="1">
      <c r="B139" s="5">
        <v>162</v>
      </c>
      <c r="C139" s="47">
        <v>5105101</v>
      </c>
      <c r="D139" s="4" t="s">
        <v>13</v>
      </c>
      <c r="E139" s="148">
        <v>3950</v>
      </c>
      <c r="F139" s="149">
        <v>7500</v>
      </c>
      <c r="G139" s="87">
        <v>5000</v>
      </c>
      <c r="H139" s="107">
        <f t="shared" si="6"/>
        <v>0.5</v>
      </c>
      <c r="I139" s="79">
        <f t="shared" si="7"/>
        <v>2500</v>
      </c>
      <c r="J139" s="87">
        <v>7500</v>
      </c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</row>
    <row r="140" spans="1:23" s="4" customFormat="1">
      <c r="B140" s="5">
        <v>162</v>
      </c>
      <c r="C140" s="47"/>
      <c r="D140" s="4" t="s">
        <v>458</v>
      </c>
      <c r="E140" s="148"/>
      <c r="F140" s="149">
        <v>0</v>
      </c>
      <c r="G140" s="87"/>
      <c r="H140" s="107"/>
      <c r="I140" s="79">
        <f t="shared" ref="I140:I203" si="11">J140-G140</f>
        <v>0</v>
      </c>
      <c r="J140" s="87">
        <v>0</v>
      </c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</row>
    <row r="141" spans="1:23" s="4" customFormat="1">
      <c r="B141" s="4">
        <v>162</v>
      </c>
      <c r="C141" s="47"/>
      <c r="D141" s="4" t="s">
        <v>319</v>
      </c>
      <c r="E141" s="148"/>
      <c r="F141" s="149">
        <v>0</v>
      </c>
      <c r="G141" s="87"/>
      <c r="H141" s="107"/>
      <c r="I141" s="79">
        <f t="shared" si="11"/>
        <v>0</v>
      </c>
      <c r="J141" s="87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</row>
    <row r="142" spans="1:23" s="4" customFormat="1">
      <c r="B142" s="4">
        <v>162</v>
      </c>
      <c r="C142" s="47">
        <v>5705277</v>
      </c>
      <c r="D142" s="4" t="s">
        <v>221</v>
      </c>
      <c r="E142" s="148">
        <v>3950</v>
      </c>
      <c r="F142" s="149">
        <v>7500</v>
      </c>
      <c r="G142" s="87">
        <v>5000</v>
      </c>
      <c r="H142" s="107">
        <f t="shared" ref="H142:H203" si="12">(J142-G142)/G142</f>
        <v>0.5</v>
      </c>
      <c r="I142" s="79">
        <f t="shared" si="11"/>
        <v>2500</v>
      </c>
      <c r="J142" s="87">
        <v>7500</v>
      </c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</row>
    <row r="143" spans="1:23" s="4" customFormat="1">
      <c r="B143" s="4">
        <v>162</v>
      </c>
      <c r="C143" s="47"/>
      <c r="D143" s="4" t="s">
        <v>129</v>
      </c>
      <c r="E143" s="148"/>
      <c r="F143" s="149">
        <v>0</v>
      </c>
      <c r="G143" s="87"/>
      <c r="H143" s="107"/>
      <c r="I143" s="79">
        <f t="shared" si="11"/>
        <v>0</v>
      </c>
      <c r="J143" s="87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</row>
    <row r="144" spans="1:23" s="4" customFormat="1">
      <c r="B144" s="4">
        <v>162</v>
      </c>
      <c r="C144" s="47"/>
      <c r="D144" s="4" t="s">
        <v>20</v>
      </c>
      <c r="E144" s="148"/>
      <c r="F144" s="149">
        <v>0</v>
      </c>
      <c r="G144" s="87"/>
      <c r="H144" s="107"/>
      <c r="I144" s="79">
        <f t="shared" si="11"/>
        <v>0</v>
      </c>
      <c r="J144" s="87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</row>
    <row r="145" spans="1:23" s="4" customFormat="1">
      <c r="B145" s="4">
        <v>162</v>
      </c>
      <c r="C145" s="47">
        <v>5705700</v>
      </c>
      <c r="D145" s="4" t="s">
        <v>222</v>
      </c>
      <c r="E145" s="148">
        <v>2100</v>
      </c>
      <c r="F145" s="149">
        <v>2100</v>
      </c>
      <c r="G145" s="87">
        <v>2100</v>
      </c>
      <c r="H145" s="107">
        <f t="shared" si="12"/>
        <v>0</v>
      </c>
      <c r="I145" s="79">
        <f t="shared" si="11"/>
        <v>0</v>
      </c>
      <c r="J145" s="87">
        <v>2100</v>
      </c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</row>
    <row r="146" spans="1:23" s="4" customFormat="1">
      <c r="B146" s="4">
        <v>162</v>
      </c>
      <c r="C146" s="47"/>
      <c r="D146" s="4" t="s">
        <v>7</v>
      </c>
      <c r="E146" s="148"/>
      <c r="F146" s="149"/>
      <c r="G146" s="87"/>
      <c r="H146" s="107"/>
      <c r="I146" s="79">
        <f t="shared" si="11"/>
        <v>0</v>
      </c>
      <c r="J146" s="87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</row>
    <row r="147" spans="1:23" s="4" customFormat="1">
      <c r="C147" s="47"/>
      <c r="E147" s="148"/>
      <c r="F147" s="149"/>
      <c r="G147" s="87"/>
      <c r="H147" s="107"/>
      <c r="I147" s="79">
        <f t="shared" si="11"/>
        <v>0</v>
      </c>
      <c r="J147" s="87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</row>
    <row r="148" spans="1:23" s="4" customFormat="1">
      <c r="C148" s="47"/>
      <c r="E148" s="156"/>
      <c r="F148" s="159"/>
      <c r="G148" s="87"/>
      <c r="H148" s="107"/>
      <c r="I148" s="79">
        <f t="shared" si="11"/>
        <v>0</v>
      </c>
      <c r="J148" s="87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</row>
    <row r="149" spans="1:23" s="6" customFormat="1">
      <c r="A149" s="4" t="s">
        <v>342</v>
      </c>
      <c r="B149" s="6" t="s">
        <v>2</v>
      </c>
      <c r="C149" s="46" t="s">
        <v>220</v>
      </c>
      <c r="E149" s="153">
        <f>SUM(E139:E146)</f>
        <v>10000</v>
      </c>
      <c r="F149" s="154">
        <f>SUM(F139:F146)</f>
        <v>17100</v>
      </c>
      <c r="G149" s="86">
        <f>SUM(G139:G148)</f>
        <v>12100</v>
      </c>
      <c r="H149" s="174">
        <f t="shared" si="12"/>
        <v>0.41322314049586778</v>
      </c>
      <c r="I149" s="175">
        <f t="shared" si="11"/>
        <v>5000</v>
      </c>
      <c r="J149" s="86">
        <f>SUM(J139:J148)</f>
        <v>17100</v>
      </c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</row>
    <row r="150" spans="1:23" s="4" customFormat="1">
      <c r="C150" s="47"/>
      <c r="E150" s="156"/>
      <c r="F150" s="157"/>
      <c r="G150" s="87"/>
      <c r="H150" s="107"/>
      <c r="I150" s="79"/>
      <c r="J150" s="87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</row>
    <row r="151" spans="1:23" s="4" customFormat="1">
      <c r="B151" s="6">
        <v>175</v>
      </c>
      <c r="C151" s="46" t="s">
        <v>58</v>
      </c>
      <c r="D151" s="6"/>
      <c r="E151" s="151"/>
      <c r="F151" s="152"/>
      <c r="G151" s="86">
        <v>0</v>
      </c>
      <c r="H151" s="174"/>
      <c r="I151" s="175"/>
      <c r="J151" s="86">
        <v>0</v>
      </c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</row>
    <row r="152" spans="1:23" s="4" customFormat="1">
      <c r="B152" s="4">
        <v>175</v>
      </c>
      <c r="C152" s="47">
        <v>5105111</v>
      </c>
      <c r="D152" s="4" t="s">
        <v>223</v>
      </c>
      <c r="E152" s="155">
        <v>924</v>
      </c>
      <c r="F152" s="149">
        <v>938</v>
      </c>
      <c r="G152" s="109">
        <v>1200</v>
      </c>
      <c r="H152" s="107">
        <f t="shared" si="12"/>
        <v>0</v>
      </c>
      <c r="I152" s="79">
        <f t="shared" si="11"/>
        <v>0</v>
      </c>
      <c r="J152" s="109">
        <v>1200</v>
      </c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</row>
    <row r="153" spans="1:23" s="6" customFormat="1">
      <c r="A153" s="88"/>
      <c r="B153" s="88"/>
      <c r="C153" s="47"/>
      <c r="D153" s="4"/>
      <c r="E153" s="148"/>
      <c r="F153" s="150"/>
      <c r="G153" s="87"/>
      <c r="H153" s="107"/>
      <c r="I153" s="79">
        <f t="shared" si="11"/>
        <v>0</v>
      </c>
      <c r="J153" s="87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</row>
    <row r="154" spans="1:23" s="4" customFormat="1">
      <c r="A154" s="4" t="s">
        <v>342</v>
      </c>
      <c r="B154" s="6" t="s">
        <v>2</v>
      </c>
      <c r="C154" s="46" t="s">
        <v>59</v>
      </c>
      <c r="D154" s="6"/>
      <c r="E154" s="153">
        <f t="shared" ref="E154:F154" si="13">SUM(E152)</f>
        <v>924</v>
      </c>
      <c r="F154" s="154">
        <f t="shared" si="13"/>
        <v>938</v>
      </c>
      <c r="G154" s="86">
        <f>SUM(G151:G153)</f>
        <v>1200</v>
      </c>
      <c r="H154" s="174">
        <f t="shared" si="12"/>
        <v>0</v>
      </c>
      <c r="I154" s="175">
        <f t="shared" si="11"/>
        <v>0</v>
      </c>
      <c r="J154" s="86">
        <f>SUM(J151:J153)</f>
        <v>1200</v>
      </c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</row>
    <row r="155" spans="1:23" s="6" customFormat="1">
      <c r="A155" s="4"/>
      <c r="B155" s="47"/>
      <c r="C155" s="47"/>
      <c r="D155" s="4"/>
      <c r="E155" s="148"/>
      <c r="F155" s="150"/>
      <c r="G155" s="87"/>
      <c r="H155" s="107"/>
      <c r="I155" s="79"/>
      <c r="J155" s="87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</row>
    <row r="156" spans="1:23" s="6" customFormat="1">
      <c r="A156" s="4"/>
      <c r="B156" s="6">
        <v>192</v>
      </c>
      <c r="C156" s="46" t="s">
        <v>60</v>
      </c>
      <c r="E156" s="151"/>
      <c r="F156" s="152"/>
      <c r="G156" s="86"/>
      <c r="H156" s="174"/>
      <c r="I156" s="175"/>
      <c r="J156" s="86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</row>
    <row r="157" spans="1:23" s="6" customFormat="1">
      <c r="A157" s="4"/>
      <c r="B157" s="4">
        <v>192</v>
      </c>
      <c r="C157" s="47">
        <v>5705115</v>
      </c>
      <c r="D157" s="4" t="s">
        <v>61</v>
      </c>
      <c r="E157" s="148">
        <v>13400</v>
      </c>
      <c r="F157" s="149">
        <v>12000</v>
      </c>
      <c r="G157" s="129">
        <v>12000</v>
      </c>
      <c r="H157" s="107">
        <f t="shared" si="12"/>
        <v>0.52541666666666664</v>
      </c>
      <c r="I157" s="79">
        <f t="shared" si="11"/>
        <v>6305</v>
      </c>
      <c r="J157" s="129">
        <v>18305</v>
      </c>
      <c r="K157" s="165"/>
      <c r="L157" s="185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</row>
    <row r="158" spans="1:23" s="6" customFormat="1">
      <c r="A158" s="4"/>
      <c r="B158" s="4">
        <v>192</v>
      </c>
      <c r="C158" s="47">
        <v>5705211</v>
      </c>
      <c r="D158" s="4" t="s">
        <v>62</v>
      </c>
      <c r="E158" s="148">
        <v>12450</v>
      </c>
      <c r="F158" s="149">
        <v>12450</v>
      </c>
      <c r="G158" s="127">
        <v>13000</v>
      </c>
      <c r="H158" s="107">
        <f t="shared" si="12"/>
        <v>0.25076923076923074</v>
      </c>
      <c r="I158" s="79">
        <f t="shared" si="11"/>
        <v>3260</v>
      </c>
      <c r="J158" s="127">
        <v>16260</v>
      </c>
      <c r="K158" s="165"/>
      <c r="L158" s="185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</row>
    <row r="159" spans="1:23" s="6" customFormat="1">
      <c r="A159" s="4"/>
      <c r="B159" s="4">
        <v>192</v>
      </c>
      <c r="C159" s="47">
        <v>5705251</v>
      </c>
      <c r="D159" s="4" t="s">
        <v>231</v>
      </c>
      <c r="E159" s="148">
        <v>1297</v>
      </c>
      <c r="F159" s="149">
        <v>1297</v>
      </c>
      <c r="G159" s="127">
        <v>1500</v>
      </c>
      <c r="H159" s="107">
        <f t="shared" si="12"/>
        <v>0</v>
      </c>
      <c r="I159" s="79">
        <f t="shared" si="11"/>
        <v>0</v>
      </c>
      <c r="J159" s="127">
        <v>1500</v>
      </c>
      <c r="K159" s="165"/>
      <c r="L159" s="185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</row>
    <row r="160" spans="1:23" s="6" customFormat="1">
      <c r="A160" s="4"/>
      <c r="B160" s="4">
        <v>192</v>
      </c>
      <c r="C160" s="47"/>
      <c r="D160" s="4" t="s">
        <v>232</v>
      </c>
      <c r="E160" s="148">
        <v>0</v>
      </c>
      <c r="F160" s="149">
        <v>0</v>
      </c>
      <c r="G160" s="127"/>
      <c r="H160" s="107"/>
      <c r="I160" s="79">
        <f t="shared" si="11"/>
        <v>0</v>
      </c>
      <c r="J160" s="127"/>
      <c r="K160" s="165"/>
      <c r="L160" s="185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</row>
    <row r="161" spans="1:23" s="6" customFormat="1">
      <c r="A161" s="4"/>
      <c r="B161" s="4">
        <v>192</v>
      </c>
      <c r="C161" s="47">
        <v>5705207</v>
      </c>
      <c r="D161" s="4" t="s">
        <v>64</v>
      </c>
      <c r="E161" s="148">
        <v>15000</v>
      </c>
      <c r="F161" s="149">
        <v>15000</v>
      </c>
      <c r="G161" s="129">
        <v>9000</v>
      </c>
      <c r="H161" s="107">
        <f t="shared" si="12"/>
        <v>-1</v>
      </c>
      <c r="I161" s="79">
        <f t="shared" si="11"/>
        <v>-9000</v>
      </c>
      <c r="J161" s="129">
        <v>0</v>
      </c>
      <c r="K161" s="165"/>
      <c r="L161" s="185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</row>
    <row r="162" spans="1:23" s="6" customFormat="1">
      <c r="A162" s="4"/>
      <c r="B162" s="4">
        <v>192</v>
      </c>
      <c r="C162" s="47">
        <v>5705700</v>
      </c>
      <c r="D162" s="4" t="s">
        <v>65</v>
      </c>
      <c r="E162" s="148">
        <v>11000</v>
      </c>
      <c r="F162" s="149">
        <v>11000</v>
      </c>
      <c r="G162" s="127">
        <v>11500</v>
      </c>
      <c r="H162" s="107">
        <f t="shared" si="12"/>
        <v>4.3478260869565216E-2</v>
      </c>
      <c r="I162" s="79">
        <f t="shared" si="11"/>
        <v>500</v>
      </c>
      <c r="J162" s="127">
        <v>12000</v>
      </c>
      <c r="K162" s="190"/>
      <c r="L162" s="185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</row>
    <row r="163" spans="1:23" s="6" customFormat="1">
      <c r="A163" s="4"/>
      <c r="B163" s="4"/>
      <c r="C163" s="47"/>
      <c r="D163" s="4"/>
      <c r="E163" s="148">
        <v>0</v>
      </c>
      <c r="F163" s="149">
        <v>0</v>
      </c>
      <c r="G163" s="80"/>
      <c r="H163" s="107"/>
      <c r="I163" s="79">
        <f t="shared" si="11"/>
        <v>0</v>
      </c>
      <c r="J163" s="213"/>
      <c r="K163" s="88"/>
      <c r="L163" s="185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</row>
    <row r="164" spans="1:23" s="6" customFormat="1">
      <c r="A164" s="4"/>
      <c r="B164" s="4"/>
      <c r="C164" s="47"/>
      <c r="D164" s="4"/>
      <c r="E164" s="148"/>
      <c r="F164" s="149"/>
      <c r="G164" s="80"/>
      <c r="H164" s="107"/>
      <c r="I164" s="79">
        <f t="shared" si="11"/>
        <v>0</v>
      </c>
      <c r="J164" s="80"/>
      <c r="K164" s="88"/>
      <c r="L164" s="185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</row>
    <row r="165" spans="1:23" s="6" customFormat="1">
      <c r="A165" s="4" t="s">
        <v>342</v>
      </c>
      <c r="B165" s="6" t="s">
        <v>2</v>
      </c>
      <c r="C165" s="46" t="s">
        <v>66</v>
      </c>
      <c r="E165" s="153">
        <f t="shared" ref="E165:F165" si="14">SUM(E157:E163)</f>
        <v>53147</v>
      </c>
      <c r="F165" s="154">
        <f t="shared" si="14"/>
        <v>51747</v>
      </c>
      <c r="G165" s="86">
        <f>SUM(G157:G164)</f>
        <v>47000</v>
      </c>
      <c r="H165" s="174">
        <f t="shared" si="12"/>
        <v>2.2659574468085107E-2</v>
      </c>
      <c r="I165" s="175">
        <f t="shared" si="11"/>
        <v>1065</v>
      </c>
      <c r="J165" s="86">
        <f>SUM(J157:J164)</f>
        <v>48065</v>
      </c>
      <c r="K165" s="88"/>
      <c r="L165" s="185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</row>
    <row r="166" spans="1:23" s="6" customFormat="1">
      <c r="A166" s="4"/>
      <c r="B166" s="47"/>
      <c r="C166" s="47"/>
      <c r="D166" s="4"/>
      <c r="E166" s="148"/>
      <c r="F166" s="150"/>
      <c r="G166" s="87"/>
      <c r="H166" s="107"/>
      <c r="I166" s="79"/>
      <c r="J166" s="87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</row>
    <row r="167" spans="1:23" s="4" customFormat="1">
      <c r="B167" s="6">
        <v>250</v>
      </c>
      <c r="C167" s="46" t="s">
        <v>282</v>
      </c>
      <c r="D167" s="6"/>
      <c r="E167" s="151"/>
      <c r="F167" s="152"/>
      <c r="G167" s="86"/>
      <c r="H167" s="174"/>
      <c r="I167" s="175"/>
      <c r="J167" s="86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</row>
    <row r="168" spans="1:23" s="4" customFormat="1">
      <c r="B168" s="47">
        <v>250</v>
      </c>
      <c r="C168" s="47">
        <v>5705211</v>
      </c>
      <c r="D168" s="4" t="s">
        <v>268</v>
      </c>
      <c r="E168" s="148">
        <v>20769</v>
      </c>
      <c r="F168" s="149">
        <v>22561</v>
      </c>
      <c r="G168" s="87">
        <v>23000</v>
      </c>
      <c r="H168" s="107">
        <f t="shared" si="12"/>
        <v>0.13043478260869565</v>
      </c>
      <c r="I168" s="79">
        <f t="shared" si="11"/>
        <v>3000</v>
      </c>
      <c r="J168" s="87">
        <v>26000</v>
      </c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</row>
    <row r="169" spans="1:23" s="6" customFormat="1">
      <c r="A169" s="4"/>
      <c r="B169" s="47">
        <v>250</v>
      </c>
      <c r="C169" s="47">
        <v>5705700</v>
      </c>
      <c r="D169" s="4" t="s">
        <v>95</v>
      </c>
      <c r="E169" s="148">
        <v>585</v>
      </c>
      <c r="F169" s="149">
        <v>977</v>
      </c>
      <c r="G169" s="87">
        <v>1000</v>
      </c>
      <c r="H169" s="107">
        <f t="shared" si="12"/>
        <v>0</v>
      </c>
      <c r="I169" s="79">
        <f t="shared" si="11"/>
        <v>0</v>
      </c>
      <c r="J169" s="87">
        <v>1000</v>
      </c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</row>
    <row r="170" spans="1:23" s="4" customFormat="1">
      <c r="B170" s="47">
        <v>250</v>
      </c>
      <c r="C170" s="47">
        <v>5705700</v>
      </c>
      <c r="D170" s="4" t="s">
        <v>63</v>
      </c>
      <c r="E170" s="148">
        <v>8500</v>
      </c>
      <c r="F170" s="149">
        <v>10000</v>
      </c>
      <c r="G170" s="87">
        <v>12000</v>
      </c>
      <c r="H170" s="107">
        <f t="shared" si="12"/>
        <v>0</v>
      </c>
      <c r="I170" s="79">
        <f t="shared" si="11"/>
        <v>0</v>
      </c>
      <c r="J170" s="87">
        <v>12000</v>
      </c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</row>
    <row r="171" spans="1:23" s="6" customFormat="1">
      <c r="A171" s="4"/>
      <c r="B171" s="47">
        <v>250</v>
      </c>
      <c r="C171" s="47">
        <v>5705700</v>
      </c>
      <c r="D171" s="4" t="s">
        <v>279</v>
      </c>
      <c r="E171" s="148">
        <v>50</v>
      </c>
      <c r="F171" s="149">
        <v>50</v>
      </c>
      <c r="G171" s="87">
        <v>100</v>
      </c>
      <c r="H171" s="107">
        <f t="shared" si="12"/>
        <v>0</v>
      </c>
      <c r="I171" s="79">
        <f t="shared" si="11"/>
        <v>0</v>
      </c>
      <c r="J171" s="87">
        <v>100</v>
      </c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</row>
    <row r="172" spans="1:23" s="4" customFormat="1">
      <c r="B172" s="47">
        <v>250</v>
      </c>
      <c r="C172" s="47">
        <v>5705700</v>
      </c>
      <c r="D172" s="4" t="s">
        <v>278</v>
      </c>
      <c r="E172" s="148">
        <v>2500</v>
      </c>
      <c r="F172" s="149">
        <v>2500</v>
      </c>
      <c r="G172" s="87">
        <v>2500</v>
      </c>
      <c r="H172" s="107">
        <f t="shared" si="12"/>
        <v>0.6</v>
      </c>
      <c r="I172" s="79">
        <f t="shared" si="11"/>
        <v>1500</v>
      </c>
      <c r="J172" s="87">
        <v>4000</v>
      </c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</row>
    <row r="173" spans="1:23" s="4" customFormat="1">
      <c r="B173" s="47">
        <v>250</v>
      </c>
      <c r="C173" s="47">
        <v>5705700</v>
      </c>
      <c r="D173" s="4" t="s">
        <v>277</v>
      </c>
      <c r="E173" s="148">
        <v>2500</v>
      </c>
      <c r="F173" s="149">
        <v>2500</v>
      </c>
      <c r="G173" s="87">
        <v>2500</v>
      </c>
      <c r="H173" s="107">
        <f t="shared" si="12"/>
        <v>0</v>
      </c>
      <c r="I173" s="79">
        <f t="shared" si="11"/>
        <v>0</v>
      </c>
      <c r="J173" s="87">
        <v>2500</v>
      </c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</row>
    <row r="174" spans="1:23" s="4" customFormat="1">
      <c r="B174" s="47">
        <v>250</v>
      </c>
      <c r="C174" s="47">
        <v>5705700</v>
      </c>
      <c r="D174" s="4" t="s">
        <v>269</v>
      </c>
      <c r="E174" s="148">
        <v>1274</v>
      </c>
      <c r="F174" s="149">
        <v>1274</v>
      </c>
      <c r="G174" s="87">
        <v>1500</v>
      </c>
      <c r="H174" s="107">
        <f t="shared" si="12"/>
        <v>0</v>
      </c>
      <c r="I174" s="79">
        <f t="shared" si="11"/>
        <v>0</v>
      </c>
      <c r="J174" s="87">
        <v>1500</v>
      </c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</row>
    <row r="175" spans="1:23" s="4" customFormat="1">
      <c r="B175" s="47">
        <v>250</v>
      </c>
      <c r="C175" s="47">
        <v>5705700</v>
      </c>
      <c r="D175" s="4" t="s">
        <v>281</v>
      </c>
      <c r="E175" s="148">
        <v>350</v>
      </c>
      <c r="F175" s="149">
        <v>350</v>
      </c>
      <c r="G175" s="87">
        <v>1000</v>
      </c>
      <c r="H175" s="107">
        <f t="shared" si="12"/>
        <v>0</v>
      </c>
      <c r="I175" s="79">
        <f t="shared" si="11"/>
        <v>0</v>
      </c>
      <c r="J175" s="87">
        <v>1000</v>
      </c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</row>
    <row r="176" spans="1:23" s="6" customFormat="1">
      <c r="A176" s="4"/>
      <c r="B176" s="47">
        <v>250</v>
      </c>
      <c r="C176" s="47">
        <v>5705700</v>
      </c>
      <c r="D176" s="4" t="s">
        <v>280</v>
      </c>
      <c r="E176" s="148">
        <v>650</v>
      </c>
      <c r="F176" s="149">
        <v>650</v>
      </c>
      <c r="G176" s="87">
        <v>1000</v>
      </c>
      <c r="H176" s="107">
        <f t="shared" si="12"/>
        <v>0</v>
      </c>
      <c r="I176" s="79">
        <f t="shared" si="11"/>
        <v>0</v>
      </c>
      <c r="J176" s="87">
        <v>1000</v>
      </c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</row>
    <row r="177" spans="1:23" s="4" customFormat="1">
      <c r="B177" s="47">
        <v>250</v>
      </c>
      <c r="C177" s="47">
        <v>5705700</v>
      </c>
      <c r="D177" s="4" t="s">
        <v>274</v>
      </c>
      <c r="E177" s="148">
        <v>390</v>
      </c>
      <c r="F177" s="149">
        <v>322</v>
      </c>
      <c r="G177" s="87">
        <v>1000</v>
      </c>
      <c r="H177" s="107">
        <f t="shared" si="12"/>
        <v>0</v>
      </c>
      <c r="I177" s="79">
        <f t="shared" si="11"/>
        <v>0</v>
      </c>
      <c r="J177" s="87">
        <v>1000</v>
      </c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</row>
    <row r="178" spans="1:23" s="6" customFormat="1">
      <c r="A178" s="4"/>
      <c r="B178" s="47">
        <v>250</v>
      </c>
      <c r="C178" s="47">
        <v>5705207</v>
      </c>
      <c r="D178" s="4" t="s">
        <v>273</v>
      </c>
      <c r="E178" s="148">
        <v>18400</v>
      </c>
      <c r="F178" s="149">
        <v>18400</v>
      </c>
      <c r="G178" s="109">
        <v>10500</v>
      </c>
      <c r="H178" s="107">
        <f t="shared" si="12"/>
        <v>4.7619047619047616E-2</v>
      </c>
      <c r="I178" s="79">
        <f t="shared" si="11"/>
        <v>500</v>
      </c>
      <c r="J178" s="109">
        <v>11000</v>
      </c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</row>
    <row r="179" spans="1:23" s="4" customFormat="1">
      <c r="B179" s="47">
        <v>250</v>
      </c>
      <c r="C179" s="47">
        <v>5705700</v>
      </c>
      <c r="D179" s="4" t="s">
        <v>270</v>
      </c>
      <c r="E179" s="148">
        <v>465</v>
      </c>
      <c r="F179" s="149">
        <v>465</v>
      </c>
      <c r="G179" s="87">
        <v>1000</v>
      </c>
      <c r="H179" s="107">
        <f t="shared" si="12"/>
        <v>0</v>
      </c>
      <c r="I179" s="79">
        <f t="shared" si="11"/>
        <v>0</v>
      </c>
      <c r="J179" s="87">
        <v>1000</v>
      </c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</row>
    <row r="180" spans="1:23" s="4" customFormat="1">
      <c r="B180" s="47">
        <v>250</v>
      </c>
      <c r="C180" s="47">
        <v>5705700</v>
      </c>
      <c r="D180" s="4" t="s">
        <v>271</v>
      </c>
      <c r="E180" s="148">
        <v>150</v>
      </c>
      <c r="F180" s="149">
        <v>150</v>
      </c>
      <c r="G180" s="87">
        <v>250</v>
      </c>
      <c r="H180" s="107">
        <f t="shared" si="12"/>
        <v>0</v>
      </c>
      <c r="I180" s="79">
        <f t="shared" si="11"/>
        <v>0</v>
      </c>
      <c r="J180" s="87">
        <v>250</v>
      </c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</row>
    <row r="181" spans="1:23" s="6" customFormat="1">
      <c r="A181" s="4"/>
      <c r="B181" s="47">
        <v>250</v>
      </c>
      <c r="C181" s="47">
        <v>5705342</v>
      </c>
      <c r="D181" s="4" t="s">
        <v>18</v>
      </c>
      <c r="E181" s="148">
        <v>5856</v>
      </c>
      <c r="F181" s="149">
        <v>5906</v>
      </c>
      <c r="G181" s="87">
        <v>6500</v>
      </c>
      <c r="H181" s="107">
        <f t="shared" si="12"/>
        <v>7.6923076923076927E-2</v>
      </c>
      <c r="I181" s="79">
        <f t="shared" si="11"/>
        <v>500</v>
      </c>
      <c r="J181" s="87">
        <v>7000</v>
      </c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</row>
    <row r="182" spans="1:23" s="4" customFormat="1">
      <c r="B182" s="47">
        <v>250</v>
      </c>
      <c r="C182" s="47">
        <v>5705700</v>
      </c>
      <c r="D182" s="4" t="s">
        <v>275</v>
      </c>
      <c r="E182" s="148">
        <v>0</v>
      </c>
      <c r="F182" s="149">
        <v>0</v>
      </c>
      <c r="G182" s="87"/>
      <c r="H182" s="107"/>
      <c r="I182" s="79">
        <f t="shared" si="11"/>
        <v>6500</v>
      </c>
      <c r="J182" s="109">
        <v>6500</v>
      </c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</row>
    <row r="183" spans="1:23" s="4" customFormat="1">
      <c r="B183" s="47">
        <v>250</v>
      </c>
      <c r="C183" s="47">
        <v>5705700</v>
      </c>
      <c r="D183" s="4" t="s">
        <v>426</v>
      </c>
      <c r="E183" s="148"/>
      <c r="F183" s="149"/>
      <c r="G183" s="109">
        <v>3000</v>
      </c>
      <c r="H183" s="107">
        <f t="shared" si="12"/>
        <v>-0.9</v>
      </c>
      <c r="I183" s="79">
        <f t="shared" si="11"/>
        <v>-2700</v>
      </c>
      <c r="J183" s="87">
        <v>300</v>
      </c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</row>
    <row r="184" spans="1:23" s="6" customFormat="1">
      <c r="A184" s="4"/>
      <c r="B184" s="47">
        <v>250</v>
      </c>
      <c r="C184" s="47">
        <v>5705700</v>
      </c>
      <c r="D184" s="4" t="s">
        <v>272</v>
      </c>
      <c r="E184" s="148">
        <v>150</v>
      </c>
      <c r="F184" s="149">
        <v>150</v>
      </c>
      <c r="G184" s="87">
        <v>300</v>
      </c>
      <c r="H184" s="107">
        <f t="shared" si="12"/>
        <v>0.66666666666666663</v>
      </c>
      <c r="I184" s="79">
        <f t="shared" si="11"/>
        <v>200</v>
      </c>
      <c r="J184" s="87">
        <v>500</v>
      </c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</row>
    <row r="185" spans="1:23" s="4" customFormat="1">
      <c r="B185" s="47">
        <v>250</v>
      </c>
      <c r="C185" s="47">
        <v>5705700</v>
      </c>
      <c r="D185" s="4" t="s">
        <v>276</v>
      </c>
      <c r="E185" s="148">
        <v>396</v>
      </c>
      <c r="F185" s="149">
        <v>396</v>
      </c>
      <c r="G185" s="87">
        <v>500</v>
      </c>
      <c r="H185" s="107">
        <f t="shared" si="12"/>
        <v>0.5</v>
      </c>
      <c r="I185" s="79">
        <f t="shared" si="11"/>
        <v>250</v>
      </c>
      <c r="J185" s="87">
        <v>750</v>
      </c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</row>
    <row r="186" spans="1:23" s="4" customFormat="1">
      <c r="B186" s="47">
        <v>250</v>
      </c>
      <c r="C186" s="47">
        <v>5705700</v>
      </c>
      <c r="D186" s="4" t="s">
        <v>53</v>
      </c>
      <c r="E186" s="148">
        <v>588</v>
      </c>
      <c r="F186" s="149">
        <v>588</v>
      </c>
      <c r="G186" s="87">
        <v>750</v>
      </c>
      <c r="H186" s="107">
        <f t="shared" si="12"/>
        <v>-1</v>
      </c>
      <c r="I186" s="79">
        <f t="shared" si="11"/>
        <v>-750</v>
      </c>
      <c r="J186" s="166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</row>
    <row r="187" spans="1:23" s="4" customFormat="1">
      <c r="B187" s="47"/>
      <c r="C187" s="47"/>
      <c r="D187" s="88" t="s">
        <v>435</v>
      </c>
      <c r="E187" s="148"/>
      <c r="F187" s="149"/>
      <c r="G187" s="112">
        <f>100000+100000</f>
        <v>200000</v>
      </c>
      <c r="H187" s="107">
        <f t="shared" si="12"/>
        <v>-1</v>
      </c>
      <c r="I187" s="79">
        <f t="shared" si="11"/>
        <v>-200000</v>
      </c>
      <c r="J187" s="87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</row>
    <row r="188" spans="1:23" s="6" customFormat="1">
      <c r="A188" s="4"/>
      <c r="B188" s="47">
        <v>250</v>
      </c>
      <c r="C188" s="47">
        <v>5705850</v>
      </c>
      <c r="D188" s="4" t="s">
        <v>22</v>
      </c>
      <c r="E188" s="148">
        <v>6000</v>
      </c>
      <c r="F188" s="149">
        <v>6000</v>
      </c>
      <c r="G188" s="87">
        <v>6000</v>
      </c>
      <c r="H188" s="107">
        <f t="shared" si="12"/>
        <v>-1</v>
      </c>
      <c r="I188" s="79">
        <f t="shared" si="11"/>
        <v>-6000</v>
      </c>
      <c r="J188" s="87">
        <v>0</v>
      </c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</row>
    <row r="189" spans="1:23" s="6" customFormat="1">
      <c r="A189" s="4" t="s">
        <v>343</v>
      </c>
      <c r="B189" s="6" t="s">
        <v>2</v>
      </c>
      <c r="C189" s="46" t="s">
        <v>282</v>
      </c>
      <c r="E189" s="153">
        <f>SUM(E168:E188)</f>
        <v>69573</v>
      </c>
      <c r="F189" s="154">
        <f>SUM(F168:F188)</f>
        <v>73239</v>
      </c>
      <c r="G189" s="86">
        <f>SUM(G168:G188)</f>
        <v>274400</v>
      </c>
      <c r="H189" s="174">
        <f t="shared" si="12"/>
        <v>-0.71793002915451898</v>
      </c>
      <c r="I189" s="175">
        <f t="shared" si="11"/>
        <v>-197000</v>
      </c>
      <c r="J189" s="86">
        <f>SUM(J168:J188)</f>
        <v>77400</v>
      </c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</row>
    <row r="190" spans="1:23" s="4" customFormat="1">
      <c r="B190" s="47"/>
      <c r="C190" s="47"/>
      <c r="E190" s="148"/>
      <c r="F190" s="150"/>
      <c r="G190" s="87"/>
      <c r="H190" s="107"/>
      <c r="I190" s="79"/>
      <c r="J190" s="87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</row>
    <row r="191" spans="1:23" s="4" customFormat="1">
      <c r="B191" s="6"/>
      <c r="C191" s="46" t="s">
        <v>67</v>
      </c>
      <c r="D191" s="6"/>
      <c r="E191" s="151"/>
      <c r="F191" s="152"/>
      <c r="G191" s="86"/>
      <c r="H191" s="174"/>
      <c r="I191" s="175"/>
      <c r="J191" s="86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</row>
    <row r="192" spans="1:23" s="6" customFormat="1">
      <c r="A192" s="4"/>
      <c r="B192" s="4">
        <v>830</v>
      </c>
      <c r="C192" s="47">
        <v>5605622</v>
      </c>
      <c r="D192" s="4" t="s">
        <v>68</v>
      </c>
      <c r="E192" s="148">
        <v>720691</v>
      </c>
      <c r="F192" s="149">
        <v>777334</v>
      </c>
      <c r="G192" s="87">
        <v>843669</v>
      </c>
      <c r="H192" s="107">
        <f t="shared" si="12"/>
        <v>5.6806638622492946E-2</v>
      </c>
      <c r="I192" s="79">
        <f t="shared" si="11"/>
        <v>47926</v>
      </c>
      <c r="J192" s="87">
        <v>891595</v>
      </c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</row>
    <row r="193" spans="1:23" s="4" customFormat="1">
      <c r="B193" s="4">
        <v>910</v>
      </c>
      <c r="C193" s="47">
        <v>5705173</v>
      </c>
      <c r="D193" s="4" t="s">
        <v>69</v>
      </c>
      <c r="E193" s="148">
        <v>160000</v>
      </c>
      <c r="F193" s="149">
        <v>180000</v>
      </c>
      <c r="G193" s="109">
        <v>190000</v>
      </c>
      <c r="H193" s="107">
        <f t="shared" si="12"/>
        <v>2.6315789473684209E-2</v>
      </c>
      <c r="I193" s="79">
        <f t="shared" si="11"/>
        <v>5000</v>
      </c>
      <c r="J193" s="109">
        <v>195000</v>
      </c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</row>
    <row r="194" spans="1:23" s="6" customFormat="1">
      <c r="A194" s="4"/>
      <c r="B194" s="4"/>
      <c r="C194" s="47"/>
      <c r="D194" s="4"/>
      <c r="E194" s="148"/>
      <c r="F194" s="150"/>
      <c r="G194" s="87"/>
      <c r="H194" s="107"/>
      <c r="I194" s="79">
        <f t="shared" si="11"/>
        <v>0</v>
      </c>
      <c r="J194" s="87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</row>
    <row r="195" spans="1:23" s="4" customFormat="1">
      <c r="A195" s="4" t="s">
        <v>344</v>
      </c>
      <c r="B195" s="6" t="s">
        <v>2</v>
      </c>
      <c r="C195" s="46" t="s">
        <v>70</v>
      </c>
      <c r="D195" s="6"/>
      <c r="E195" s="153">
        <f t="shared" ref="E195:F195" si="15">SUM(E192:E193)</f>
        <v>880691</v>
      </c>
      <c r="F195" s="154">
        <f t="shared" si="15"/>
        <v>957334</v>
      </c>
      <c r="G195" s="86">
        <f>SUM(G192:G194)</f>
        <v>1033669</v>
      </c>
      <c r="H195" s="174">
        <f t="shared" si="12"/>
        <v>5.1202077260709182E-2</v>
      </c>
      <c r="I195" s="175">
        <f t="shared" si="11"/>
        <v>52926</v>
      </c>
      <c r="J195" s="86">
        <f>SUM(J192:J194)</f>
        <v>1086595</v>
      </c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</row>
    <row r="196" spans="1:23" s="4" customFormat="1">
      <c r="C196" s="47"/>
      <c r="E196" s="148"/>
      <c r="F196" s="150"/>
      <c r="G196" s="87"/>
      <c r="H196" s="107"/>
      <c r="I196" s="79"/>
      <c r="J196" s="87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</row>
    <row r="197" spans="1:23" s="4" customFormat="1">
      <c r="B197" s="6">
        <v>940</v>
      </c>
      <c r="C197" s="46" t="s">
        <v>71</v>
      </c>
      <c r="D197" s="6"/>
      <c r="E197" s="151"/>
      <c r="F197" s="152"/>
      <c r="G197" s="86"/>
      <c r="H197" s="174"/>
      <c r="I197" s="175"/>
      <c r="J197" s="86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</row>
    <row r="198" spans="1:23" s="6" customFormat="1">
      <c r="A198" s="4"/>
      <c r="B198" s="4">
        <v>940</v>
      </c>
      <c r="C198" s="47">
        <v>5705740</v>
      </c>
      <c r="D198" s="4" t="s">
        <v>72</v>
      </c>
      <c r="E198" s="148">
        <v>14970</v>
      </c>
      <c r="F198" s="149">
        <v>14313</v>
      </c>
      <c r="G198" s="109">
        <v>16916</v>
      </c>
      <c r="H198" s="107">
        <f t="shared" si="12"/>
        <v>0.18231260345235281</v>
      </c>
      <c r="I198" s="79">
        <f t="shared" si="11"/>
        <v>3084</v>
      </c>
      <c r="J198" s="109">
        <v>20000</v>
      </c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</row>
    <row r="199" spans="1:23" s="4" customFormat="1">
      <c r="C199" s="47"/>
      <c r="E199" s="148"/>
      <c r="F199" s="150"/>
      <c r="G199" s="85"/>
      <c r="H199" s="107"/>
      <c r="I199" s="79">
        <f t="shared" si="11"/>
        <v>0</v>
      </c>
      <c r="J199" s="85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</row>
    <row r="200" spans="1:23" s="6" customFormat="1">
      <c r="A200" s="4" t="s">
        <v>345</v>
      </c>
      <c r="B200" s="6" t="s">
        <v>2</v>
      </c>
      <c r="C200" s="46" t="s">
        <v>73</v>
      </c>
      <c r="E200" s="153">
        <f t="shared" ref="E200:F200" si="16">SUM(E198)</f>
        <v>14970</v>
      </c>
      <c r="F200" s="154">
        <f t="shared" si="16"/>
        <v>14313</v>
      </c>
      <c r="G200" s="86">
        <f>SUM(G198:G199)</f>
        <v>16916</v>
      </c>
      <c r="H200" s="174">
        <f t="shared" si="12"/>
        <v>0.18231260345235281</v>
      </c>
      <c r="I200" s="175">
        <f t="shared" si="11"/>
        <v>3084</v>
      </c>
      <c r="J200" s="86">
        <f>SUM(J198:J199)</f>
        <v>20000</v>
      </c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</row>
    <row r="201" spans="1:23" s="4" customFormat="1">
      <c r="C201" s="47"/>
      <c r="E201" s="148"/>
      <c r="F201" s="150"/>
      <c r="G201" s="87"/>
      <c r="H201" s="107"/>
      <c r="I201" s="79"/>
      <c r="J201" s="87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</row>
    <row r="202" spans="1:23" s="4" customFormat="1">
      <c r="B202" s="6">
        <v>910</v>
      </c>
      <c r="C202" s="46" t="s">
        <v>74</v>
      </c>
      <c r="D202" s="6"/>
      <c r="E202" s="151"/>
      <c r="F202" s="152"/>
      <c r="G202" s="86"/>
      <c r="H202" s="174"/>
      <c r="I202" s="175"/>
      <c r="J202" s="86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</row>
    <row r="203" spans="1:23" s="4" customFormat="1">
      <c r="B203" s="4">
        <v>910</v>
      </c>
      <c r="C203" s="47">
        <v>5705172</v>
      </c>
      <c r="D203" s="4" t="s">
        <v>75</v>
      </c>
      <c r="E203" s="148">
        <v>5000</v>
      </c>
      <c r="F203" s="149">
        <v>5000</v>
      </c>
      <c r="G203" s="109">
        <v>5000</v>
      </c>
      <c r="H203" s="107">
        <f t="shared" si="12"/>
        <v>14</v>
      </c>
      <c r="I203" s="79">
        <f t="shared" si="11"/>
        <v>70000</v>
      </c>
      <c r="J203" s="109">
        <v>75000</v>
      </c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</row>
    <row r="204" spans="1:23" s="4" customFormat="1">
      <c r="C204" s="47"/>
      <c r="E204" s="148"/>
      <c r="F204" s="150"/>
      <c r="G204" s="87"/>
      <c r="H204" s="107"/>
      <c r="I204" s="79">
        <f t="shared" ref="I204:I268" si="17">J204-G204</f>
        <v>0</v>
      </c>
      <c r="J204" s="87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</row>
    <row r="205" spans="1:23" s="4" customFormat="1">
      <c r="A205" s="4" t="s">
        <v>345</v>
      </c>
      <c r="B205" s="6" t="s">
        <v>2</v>
      </c>
      <c r="C205" s="46" t="s">
        <v>74</v>
      </c>
      <c r="D205" s="6"/>
      <c r="E205" s="153">
        <f t="shared" ref="E205:F205" si="18">SUM(E203)</f>
        <v>5000</v>
      </c>
      <c r="F205" s="154">
        <f t="shared" si="18"/>
        <v>5000</v>
      </c>
      <c r="G205" s="86">
        <f>SUM(G203:G204)</f>
        <v>5000</v>
      </c>
      <c r="H205" s="174">
        <f t="shared" ref="H205:H268" si="19">(J205-G205)/G205</f>
        <v>14</v>
      </c>
      <c r="I205" s="175">
        <f t="shared" si="17"/>
        <v>70000</v>
      </c>
      <c r="J205" s="86">
        <f>SUM(J203:J204)</f>
        <v>75000</v>
      </c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</row>
    <row r="206" spans="1:23" s="4" customFormat="1">
      <c r="C206" s="47"/>
      <c r="E206" s="148"/>
      <c r="F206" s="150"/>
      <c r="G206" s="87"/>
      <c r="H206" s="107"/>
      <c r="I206" s="79"/>
      <c r="J206" s="87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</row>
    <row r="207" spans="1:23" s="4" customFormat="1">
      <c r="B207" s="6">
        <v>910</v>
      </c>
      <c r="C207" s="46" t="s">
        <v>76</v>
      </c>
      <c r="D207" s="6"/>
      <c r="E207" s="151"/>
      <c r="F207" s="152"/>
      <c r="G207" s="86"/>
      <c r="H207" s="174"/>
      <c r="I207" s="175"/>
      <c r="J207" s="86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</row>
    <row r="208" spans="1:23" s="4" customFormat="1">
      <c r="B208" s="4">
        <v>910</v>
      </c>
      <c r="C208" s="47">
        <v>5115171</v>
      </c>
      <c r="D208" s="4" t="s">
        <v>77</v>
      </c>
      <c r="E208" s="148">
        <v>430000</v>
      </c>
      <c r="F208" s="160">
        <v>430000</v>
      </c>
      <c r="G208" s="109">
        <v>444765</v>
      </c>
      <c r="H208" s="107">
        <f t="shared" si="19"/>
        <v>7.2100000000000011E-2</v>
      </c>
      <c r="I208" s="79">
        <f t="shared" si="17"/>
        <v>32067.556500000006</v>
      </c>
      <c r="J208" s="133">
        <f>444765*1.0721</f>
        <v>476832.55650000001</v>
      </c>
      <c r="K208" s="179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</row>
    <row r="209" spans="1:23" s="4" customFormat="1">
      <c r="B209" s="4">
        <v>910</v>
      </c>
      <c r="C209" s="47"/>
      <c r="D209" s="4" t="s">
        <v>78</v>
      </c>
      <c r="E209" s="148"/>
      <c r="F209" s="150">
        <v>0</v>
      </c>
      <c r="G209" s="87"/>
      <c r="H209" s="107"/>
      <c r="I209" s="79">
        <f t="shared" si="17"/>
        <v>0</v>
      </c>
      <c r="J209" s="87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</row>
    <row r="210" spans="1:23" s="4" customFormat="1">
      <c r="C210" s="47"/>
      <c r="E210" s="148"/>
      <c r="F210" s="150"/>
      <c r="G210" s="87"/>
      <c r="H210" s="107"/>
      <c r="I210" s="79">
        <f t="shared" si="17"/>
        <v>0</v>
      </c>
      <c r="J210" s="87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</row>
    <row r="211" spans="1:23" s="4" customFormat="1">
      <c r="A211" s="4" t="s">
        <v>345</v>
      </c>
      <c r="B211" s="6" t="s">
        <v>2</v>
      </c>
      <c r="C211" s="46" t="s">
        <v>79</v>
      </c>
      <c r="D211" s="6"/>
      <c r="E211" s="153">
        <f t="shared" ref="E211:F211" si="20">SUM(E208:E209)</f>
        <v>430000</v>
      </c>
      <c r="F211" s="154">
        <f t="shared" si="20"/>
        <v>430000</v>
      </c>
      <c r="G211" s="86">
        <f>SUM(G208:G210)</f>
        <v>444765</v>
      </c>
      <c r="H211" s="174">
        <f t="shared" si="19"/>
        <v>7.2100000000000011E-2</v>
      </c>
      <c r="I211" s="175">
        <f t="shared" si="17"/>
        <v>32067.556500000006</v>
      </c>
      <c r="J211" s="86">
        <f>SUM(J208:J210)</f>
        <v>476832.55650000001</v>
      </c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</row>
    <row r="212" spans="1:23" s="4" customFormat="1">
      <c r="C212" s="47"/>
      <c r="E212" s="148"/>
      <c r="F212" s="150"/>
      <c r="G212" s="87"/>
      <c r="H212" s="107"/>
      <c r="I212" s="79"/>
      <c r="J212" s="87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</row>
    <row r="213" spans="1:23" s="4" customFormat="1">
      <c r="B213" s="6">
        <v>940</v>
      </c>
      <c r="C213" s="46" t="s">
        <v>80</v>
      </c>
      <c r="D213" s="6"/>
      <c r="E213" s="151"/>
      <c r="F213" s="152"/>
      <c r="G213" s="86"/>
      <c r="H213" s="174"/>
      <c r="I213" s="175"/>
      <c r="J213" s="86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</row>
    <row r="214" spans="1:23" s="4" customFormat="1">
      <c r="B214" s="4">
        <v>940</v>
      </c>
      <c r="C214" s="47">
        <v>5705748</v>
      </c>
      <c r="D214" s="4" t="s">
        <v>81</v>
      </c>
      <c r="E214" s="148">
        <v>54000</v>
      </c>
      <c r="F214" s="149">
        <v>56516</v>
      </c>
      <c r="G214" s="109">
        <v>58777</v>
      </c>
      <c r="H214" s="107">
        <f t="shared" si="19"/>
        <v>0.14936114466543035</v>
      </c>
      <c r="I214" s="79">
        <f t="shared" si="17"/>
        <v>8779</v>
      </c>
      <c r="J214" s="109">
        <f>60141+7415</f>
        <v>67556</v>
      </c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</row>
    <row r="215" spans="1:23" s="4" customFormat="1">
      <c r="B215" s="4">
        <v>940</v>
      </c>
      <c r="C215" s="131">
        <v>5705740</v>
      </c>
      <c r="D215" s="4" t="s">
        <v>82</v>
      </c>
      <c r="E215" s="148">
        <v>76705</v>
      </c>
      <c r="F215" s="149">
        <v>79390</v>
      </c>
      <c r="G215" s="109">
        <v>84545</v>
      </c>
      <c r="H215" s="107">
        <f t="shared" si="19"/>
        <v>0</v>
      </c>
      <c r="I215" s="79">
        <f t="shared" si="17"/>
        <v>0</v>
      </c>
      <c r="J215" s="109">
        <v>84545</v>
      </c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</row>
    <row r="216" spans="1:23" s="4" customFormat="1">
      <c r="C216" s="47"/>
      <c r="E216" s="148"/>
      <c r="F216" s="150"/>
      <c r="G216" s="87"/>
      <c r="H216" s="107"/>
      <c r="I216" s="79">
        <f t="shared" si="17"/>
        <v>0</v>
      </c>
      <c r="J216" s="87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</row>
    <row r="217" spans="1:23" s="4" customFormat="1">
      <c r="A217" s="4" t="s">
        <v>345</v>
      </c>
      <c r="B217" s="6" t="s">
        <v>2</v>
      </c>
      <c r="C217" s="46" t="s">
        <v>83</v>
      </c>
      <c r="D217" s="6"/>
      <c r="E217" s="153">
        <f t="shared" ref="E217:F217" si="21">SUM(E214:E215)</f>
        <v>130705</v>
      </c>
      <c r="F217" s="154">
        <f t="shared" si="21"/>
        <v>135906</v>
      </c>
      <c r="G217" s="86">
        <f>SUM(G214:G216)</f>
        <v>143322</v>
      </c>
      <c r="H217" s="174">
        <f t="shared" si="19"/>
        <v>6.1253680523576284E-2</v>
      </c>
      <c r="I217" s="175">
        <f t="shared" si="17"/>
        <v>8779</v>
      </c>
      <c r="J217" s="86">
        <f>SUM(J214:J216)</f>
        <v>152101</v>
      </c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</row>
    <row r="218" spans="1:23" s="4" customFormat="1">
      <c r="C218" s="47"/>
      <c r="E218" s="148"/>
      <c r="F218" s="150"/>
      <c r="G218" s="87"/>
      <c r="H218" s="107"/>
      <c r="I218" s="79"/>
      <c r="J218" s="87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</row>
    <row r="219" spans="1:23" s="4" customFormat="1">
      <c r="B219" s="6">
        <v>210</v>
      </c>
      <c r="C219" s="46" t="s">
        <v>84</v>
      </c>
      <c r="D219" s="6"/>
      <c r="E219" s="151"/>
      <c r="F219" s="152"/>
      <c r="G219" s="86"/>
      <c r="H219" s="174"/>
      <c r="I219" s="175"/>
      <c r="J219" s="86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</row>
    <row r="220" spans="1:23" s="4" customFormat="1">
      <c r="B220" s="4">
        <v>210</v>
      </c>
      <c r="C220" s="47">
        <v>5105110</v>
      </c>
      <c r="D220" s="4" t="s">
        <v>85</v>
      </c>
      <c r="E220" s="148">
        <v>161516</v>
      </c>
      <c r="F220" s="149">
        <v>158996</v>
      </c>
      <c r="G220" s="87">
        <v>125000</v>
      </c>
      <c r="H220" s="107">
        <f t="shared" si="19"/>
        <v>0.04</v>
      </c>
      <c r="I220" s="79">
        <f t="shared" si="17"/>
        <v>5000</v>
      </c>
      <c r="J220" s="111">
        <v>130000</v>
      </c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</row>
    <row r="221" spans="1:23" s="4" customFormat="1">
      <c r="B221" s="4">
        <v>210</v>
      </c>
      <c r="C221" s="47">
        <v>5105110</v>
      </c>
      <c r="D221" s="4" t="s">
        <v>86</v>
      </c>
      <c r="E221" s="148">
        <v>741531</v>
      </c>
      <c r="F221" s="149">
        <v>735133</v>
      </c>
      <c r="G221" s="109">
        <v>795805</v>
      </c>
      <c r="H221" s="107">
        <f t="shared" si="19"/>
        <v>0.1060209473426279</v>
      </c>
      <c r="I221" s="79">
        <f t="shared" si="17"/>
        <v>84372</v>
      </c>
      <c r="J221" s="112">
        <v>880177</v>
      </c>
      <c r="K221" s="197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</row>
    <row r="222" spans="1:23" s="4" customFormat="1">
      <c r="B222" s="4">
        <v>210</v>
      </c>
      <c r="C222" s="47">
        <v>5105110</v>
      </c>
      <c r="D222" s="4" t="s">
        <v>254</v>
      </c>
      <c r="E222" s="148">
        <v>27935</v>
      </c>
      <c r="F222" s="149">
        <v>32685</v>
      </c>
      <c r="G222" s="87">
        <v>39172</v>
      </c>
      <c r="H222" s="107">
        <f t="shared" si="19"/>
        <v>2.1392831614418462E-2</v>
      </c>
      <c r="I222" s="79">
        <f t="shared" si="17"/>
        <v>838</v>
      </c>
      <c r="J222" s="111">
        <v>40010</v>
      </c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</row>
    <row r="223" spans="1:23" s="4" customFormat="1">
      <c r="B223" s="4">
        <v>210</v>
      </c>
      <c r="C223" s="47">
        <v>5105110</v>
      </c>
      <c r="D223" s="4" t="s">
        <v>246</v>
      </c>
      <c r="E223" s="148">
        <v>55939</v>
      </c>
      <c r="F223" s="149">
        <v>41034</v>
      </c>
      <c r="G223" s="87">
        <v>52801</v>
      </c>
      <c r="H223" s="107">
        <f t="shared" si="19"/>
        <v>0</v>
      </c>
      <c r="I223" s="79">
        <f t="shared" si="17"/>
        <v>0</v>
      </c>
      <c r="J223" s="111">
        <v>52801</v>
      </c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</row>
    <row r="224" spans="1:23" s="4" customFormat="1">
      <c r="B224" s="4">
        <v>210</v>
      </c>
      <c r="C224" s="47">
        <v>5105110</v>
      </c>
      <c r="D224" s="4" t="s">
        <v>14</v>
      </c>
      <c r="E224" s="148">
        <v>207078</v>
      </c>
      <c r="F224" s="149">
        <v>221942</v>
      </c>
      <c r="G224" s="87">
        <v>237335</v>
      </c>
      <c r="H224" s="107">
        <f t="shared" si="19"/>
        <v>2.1400130617060274E-2</v>
      </c>
      <c r="I224" s="79">
        <f t="shared" si="17"/>
        <v>5079</v>
      </c>
      <c r="J224" s="111">
        <v>242414</v>
      </c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</row>
    <row r="225" spans="2:23" s="4" customFormat="1">
      <c r="B225" s="4">
        <v>210</v>
      </c>
      <c r="C225" s="47">
        <v>5105110</v>
      </c>
      <c r="D225" s="4" t="s">
        <v>261</v>
      </c>
      <c r="E225" s="148">
        <v>10000</v>
      </c>
      <c r="F225" s="149">
        <v>10000</v>
      </c>
      <c r="G225" s="87">
        <v>5000</v>
      </c>
      <c r="H225" s="107">
        <f t="shared" si="19"/>
        <v>0</v>
      </c>
      <c r="I225" s="79">
        <f t="shared" si="17"/>
        <v>0</v>
      </c>
      <c r="J225" s="111">
        <v>5000</v>
      </c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</row>
    <row r="226" spans="2:23" s="4" customFormat="1">
      <c r="C226" s="47"/>
      <c r="D226" s="4" t="s">
        <v>425</v>
      </c>
      <c r="E226" s="148"/>
      <c r="F226" s="149"/>
      <c r="G226" s="87">
        <v>3916</v>
      </c>
      <c r="H226" s="107">
        <f t="shared" si="19"/>
        <v>2.1450459652706845E-2</v>
      </c>
      <c r="I226" s="79">
        <f t="shared" si="17"/>
        <v>84</v>
      </c>
      <c r="J226" s="111">
        <v>4000</v>
      </c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</row>
    <row r="227" spans="2:23" s="4" customFormat="1">
      <c r="B227" s="4">
        <v>210</v>
      </c>
      <c r="C227" s="47">
        <v>5105110</v>
      </c>
      <c r="D227" s="4" t="s">
        <v>256</v>
      </c>
      <c r="E227" s="148">
        <v>3746</v>
      </c>
      <c r="F227" s="149">
        <v>3746</v>
      </c>
      <c r="G227" s="87">
        <v>3916</v>
      </c>
      <c r="H227" s="107">
        <f t="shared" si="19"/>
        <v>2.1450459652706845E-2</v>
      </c>
      <c r="I227" s="79">
        <f t="shared" si="17"/>
        <v>84</v>
      </c>
      <c r="J227" s="111">
        <v>4000</v>
      </c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</row>
    <row r="228" spans="2:23" s="4" customFormat="1">
      <c r="C228" s="47"/>
      <c r="D228" s="4" t="s">
        <v>424</v>
      </c>
      <c r="E228" s="148"/>
      <c r="F228" s="149"/>
      <c r="G228" s="109">
        <v>6000</v>
      </c>
      <c r="H228" s="107">
        <f t="shared" si="19"/>
        <v>0</v>
      </c>
      <c r="I228" s="79">
        <f t="shared" si="17"/>
        <v>0</v>
      </c>
      <c r="J228" s="112">
        <v>6000</v>
      </c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</row>
    <row r="229" spans="2:23" s="4" customFormat="1">
      <c r="C229" s="47"/>
      <c r="D229" s="4" t="s">
        <v>455</v>
      </c>
      <c r="E229" s="148"/>
      <c r="F229" s="149"/>
      <c r="G229" s="109">
        <v>40960</v>
      </c>
      <c r="H229" s="107">
        <f t="shared" si="19"/>
        <v>-2.34375E-2</v>
      </c>
      <c r="I229" s="79">
        <f t="shared" si="17"/>
        <v>-960</v>
      </c>
      <c r="J229" s="112">
        <v>40000</v>
      </c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</row>
    <row r="230" spans="2:23" s="4" customFormat="1">
      <c r="B230" s="4">
        <v>210</v>
      </c>
      <c r="C230" s="47">
        <v>5105110</v>
      </c>
      <c r="D230" s="4" t="s">
        <v>247</v>
      </c>
      <c r="E230" s="148">
        <v>17000</v>
      </c>
      <c r="F230" s="149">
        <v>17000</v>
      </c>
      <c r="G230" s="87">
        <v>17000</v>
      </c>
      <c r="H230" s="107">
        <f t="shared" si="19"/>
        <v>0</v>
      </c>
      <c r="I230" s="79">
        <f t="shared" si="17"/>
        <v>0</v>
      </c>
      <c r="J230" s="111">
        <v>17000</v>
      </c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</row>
    <row r="231" spans="2:23" s="4" customFormat="1">
      <c r="C231" s="47">
        <v>5105110</v>
      </c>
      <c r="D231" s="4" t="s">
        <v>405</v>
      </c>
      <c r="E231" s="148"/>
      <c r="F231" s="126">
        <v>164728</v>
      </c>
      <c r="G231" s="87"/>
      <c r="H231" s="107"/>
      <c r="I231" s="79">
        <f t="shared" si="17"/>
        <v>0</v>
      </c>
      <c r="J231" s="111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</row>
    <row r="232" spans="2:23" s="4" customFormat="1">
      <c r="B232" s="4">
        <v>210</v>
      </c>
      <c r="C232" s="47">
        <v>5705156</v>
      </c>
      <c r="D232" s="4" t="s">
        <v>87</v>
      </c>
      <c r="E232" s="148">
        <v>16300</v>
      </c>
      <c r="F232" s="149">
        <v>17000</v>
      </c>
      <c r="G232" s="87">
        <v>17000</v>
      </c>
      <c r="H232" s="107">
        <f t="shared" si="19"/>
        <v>0</v>
      </c>
      <c r="I232" s="79">
        <f t="shared" si="17"/>
        <v>0</v>
      </c>
      <c r="J232" s="111">
        <v>17000</v>
      </c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</row>
    <row r="233" spans="2:23" s="4" customFormat="1">
      <c r="B233" s="4">
        <v>210</v>
      </c>
      <c r="C233" s="47">
        <v>5705156</v>
      </c>
      <c r="D233" s="4" t="s">
        <v>250</v>
      </c>
      <c r="E233" s="148">
        <v>2500</v>
      </c>
      <c r="F233" s="149">
        <v>2500</v>
      </c>
      <c r="G233" s="87">
        <v>2500</v>
      </c>
      <c r="H233" s="107">
        <f t="shared" si="19"/>
        <v>0</v>
      </c>
      <c r="I233" s="79">
        <f t="shared" si="17"/>
        <v>0</v>
      </c>
      <c r="J233" s="111">
        <v>2500</v>
      </c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</row>
    <row r="234" spans="2:23" s="4" customFormat="1">
      <c r="B234" s="4">
        <v>210</v>
      </c>
      <c r="C234" s="47">
        <v>5705700</v>
      </c>
      <c r="D234" s="4" t="s">
        <v>63</v>
      </c>
      <c r="E234" s="148">
        <v>0</v>
      </c>
      <c r="F234" s="149">
        <v>0</v>
      </c>
      <c r="G234" s="87">
        <v>0</v>
      </c>
      <c r="H234" s="107"/>
      <c r="I234" s="79">
        <f t="shared" si="17"/>
        <v>0</v>
      </c>
      <c r="J234" s="111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</row>
    <row r="235" spans="2:23" s="4" customFormat="1">
      <c r="B235" s="4">
        <v>210</v>
      </c>
      <c r="C235" s="47">
        <v>5705700</v>
      </c>
      <c r="D235" s="4" t="s">
        <v>16</v>
      </c>
      <c r="E235" s="148">
        <v>15657</v>
      </c>
      <c r="F235" s="149">
        <v>16582</v>
      </c>
      <c r="G235" s="87">
        <v>17000</v>
      </c>
      <c r="H235" s="107">
        <f t="shared" si="19"/>
        <v>1.9588235294117646E-2</v>
      </c>
      <c r="I235" s="79">
        <f t="shared" si="17"/>
        <v>333</v>
      </c>
      <c r="J235" s="112">
        <f>16000+1333</f>
        <v>17333</v>
      </c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</row>
    <row r="236" spans="2:23" s="4" customFormat="1">
      <c r="B236" s="4">
        <v>210</v>
      </c>
      <c r="C236" s="47">
        <v>5705700</v>
      </c>
      <c r="D236" s="4" t="s">
        <v>294</v>
      </c>
      <c r="E236" s="148">
        <v>4000</v>
      </c>
      <c r="F236" s="149">
        <v>4000</v>
      </c>
      <c r="G236" s="87">
        <v>4160</v>
      </c>
      <c r="H236" s="107">
        <f t="shared" si="19"/>
        <v>0</v>
      </c>
      <c r="I236" s="79">
        <f t="shared" si="17"/>
        <v>0</v>
      </c>
      <c r="J236" s="111">
        <v>4160</v>
      </c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</row>
    <row r="237" spans="2:23" s="4" customFormat="1">
      <c r="B237" s="4">
        <v>210</v>
      </c>
      <c r="C237" s="47">
        <v>5705700</v>
      </c>
      <c r="D237" s="4" t="s">
        <v>88</v>
      </c>
      <c r="E237" s="148">
        <v>3734</v>
      </c>
      <c r="F237" s="149">
        <v>3891</v>
      </c>
      <c r="G237" s="87">
        <v>4046</v>
      </c>
      <c r="H237" s="107">
        <f t="shared" si="19"/>
        <v>0</v>
      </c>
      <c r="I237" s="79">
        <f t="shared" si="17"/>
        <v>0</v>
      </c>
      <c r="J237" s="111">
        <v>4046</v>
      </c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</row>
    <row r="238" spans="2:23" s="4" customFormat="1">
      <c r="B238" s="4">
        <v>210</v>
      </c>
      <c r="C238" s="47">
        <v>5705700</v>
      </c>
      <c r="D238" s="4" t="s">
        <v>265</v>
      </c>
      <c r="E238" s="148">
        <v>4500</v>
      </c>
      <c r="F238" s="149">
        <v>5250</v>
      </c>
      <c r="G238" s="87">
        <v>6270</v>
      </c>
      <c r="H238" s="107">
        <f t="shared" si="19"/>
        <v>0</v>
      </c>
      <c r="I238" s="79">
        <f t="shared" si="17"/>
        <v>0</v>
      </c>
      <c r="J238" s="111">
        <v>6270</v>
      </c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</row>
    <row r="239" spans="2:23" s="4" customFormat="1">
      <c r="B239" s="4">
        <v>210</v>
      </c>
      <c r="C239" s="47">
        <v>5705156</v>
      </c>
      <c r="D239" s="4" t="s">
        <v>255</v>
      </c>
      <c r="E239" s="148">
        <v>2500</v>
      </c>
      <c r="F239" s="149">
        <v>2500</v>
      </c>
      <c r="G239" s="87">
        <v>2500</v>
      </c>
      <c r="H239" s="107">
        <f t="shared" si="19"/>
        <v>0</v>
      </c>
      <c r="I239" s="79">
        <f t="shared" si="17"/>
        <v>0</v>
      </c>
      <c r="J239" s="111">
        <v>2500</v>
      </c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</row>
    <row r="240" spans="2:23" s="4" customFormat="1">
      <c r="B240" s="4">
        <v>210</v>
      </c>
      <c r="C240" s="47">
        <v>5705156</v>
      </c>
      <c r="D240" s="4" t="s">
        <v>252</v>
      </c>
      <c r="E240" s="148">
        <v>3000</v>
      </c>
      <c r="F240" s="149">
        <v>3000</v>
      </c>
      <c r="G240" s="87">
        <v>3000</v>
      </c>
      <c r="H240" s="107">
        <f t="shared" si="19"/>
        <v>0</v>
      </c>
      <c r="I240" s="79">
        <f t="shared" si="17"/>
        <v>0</v>
      </c>
      <c r="J240" s="111">
        <v>3000</v>
      </c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</row>
    <row r="241" spans="1:23" s="6" customFormat="1">
      <c r="A241" s="4"/>
      <c r="B241" s="4">
        <v>210</v>
      </c>
      <c r="C241" s="47">
        <v>5705156</v>
      </c>
      <c r="D241" s="4" t="s">
        <v>251</v>
      </c>
      <c r="E241" s="148">
        <v>4800</v>
      </c>
      <c r="F241" s="149">
        <v>4800</v>
      </c>
      <c r="G241" s="87">
        <v>4800</v>
      </c>
      <c r="H241" s="107">
        <f t="shared" si="19"/>
        <v>0.21479166666666666</v>
      </c>
      <c r="I241" s="79">
        <f t="shared" si="17"/>
        <v>1031</v>
      </c>
      <c r="J241" s="111">
        <v>5831</v>
      </c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</row>
    <row r="242" spans="1:23" s="4" customFormat="1">
      <c r="B242" s="4">
        <v>210</v>
      </c>
      <c r="C242" s="47">
        <v>5705700</v>
      </c>
      <c r="D242" s="4" t="s">
        <v>393</v>
      </c>
      <c r="E242" s="148">
        <v>9104</v>
      </c>
      <c r="F242" s="149">
        <v>9104</v>
      </c>
      <c r="G242" s="87">
        <v>9104</v>
      </c>
      <c r="H242" s="107">
        <f t="shared" si="19"/>
        <v>0</v>
      </c>
      <c r="I242" s="79">
        <f t="shared" si="17"/>
        <v>0</v>
      </c>
      <c r="J242" s="111">
        <v>9104</v>
      </c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</row>
    <row r="243" spans="1:23" s="6" customFormat="1">
      <c r="A243" s="4"/>
      <c r="B243" s="4">
        <v>210</v>
      </c>
      <c r="C243" s="47">
        <v>5705700</v>
      </c>
      <c r="D243" s="4" t="s">
        <v>392</v>
      </c>
      <c r="E243" s="148">
        <v>4633</v>
      </c>
      <c r="F243" s="149">
        <v>4633</v>
      </c>
      <c r="G243" s="87">
        <v>4633</v>
      </c>
      <c r="H243" s="107">
        <f t="shared" si="19"/>
        <v>0</v>
      </c>
      <c r="I243" s="79">
        <f t="shared" si="17"/>
        <v>0</v>
      </c>
      <c r="J243" s="111">
        <v>4633</v>
      </c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</row>
    <row r="244" spans="1:23" s="6" customFormat="1">
      <c r="A244" s="4"/>
      <c r="B244" s="4"/>
      <c r="C244" s="47"/>
      <c r="D244" s="4" t="s">
        <v>433</v>
      </c>
      <c r="E244" s="148"/>
      <c r="F244" s="149"/>
      <c r="G244" s="109">
        <v>5750</v>
      </c>
      <c r="H244" s="107">
        <f t="shared" si="19"/>
        <v>0</v>
      </c>
      <c r="I244" s="79">
        <f t="shared" si="17"/>
        <v>0</v>
      </c>
      <c r="J244" s="112">
        <v>5750</v>
      </c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</row>
    <row r="245" spans="1:23" s="6" customFormat="1">
      <c r="A245" s="4"/>
      <c r="B245" s="4"/>
      <c r="C245" s="47"/>
      <c r="D245" s="4" t="s">
        <v>456</v>
      </c>
      <c r="E245" s="148"/>
      <c r="F245" s="149"/>
      <c r="G245" s="109"/>
      <c r="H245" s="107"/>
      <c r="I245" s="79"/>
      <c r="J245" s="112">
        <v>2340</v>
      </c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</row>
    <row r="246" spans="1:23" s="4" customFormat="1">
      <c r="B246" s="4">
        <v>210</v>
      </c>
      <c r="C246" s="47">
        <v>5705700</v>
      </c>
      <c r="D246" s="4" t="s">
        <v>257</v>
      </c>
      <c r="E246" s="148">
        <v>5000</v>
      </c>
      <c r="F246" s="149">
        <v>5000</v>
      </c>
      <c r="G246" s="87">
        <v>5200</v>
      </c>
      <c r="H246" s="107">
        <f t="shared" si="19"/>
        <v>0</v>
      </c>
      <c r="I246" s="79">
        <f>J246-G246</f>
        <v>0</v>
      </c>
      <c r="J246" s="111">
        <v>5200</v>
      </c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</row>
    <row r="247" spans="1:23" s="4" customFormat="1">
      <c r="B247" s="4">
        <v>210</v>
      </c>
      <c r="C247" s="47">
        <v>5705700</v>
      </c>
      <c r="D247" s="4" t="s">
        <v>263</v>
      </c>
      <c r="E247" s="148">
        <v>5000</v>
      </c>
      <c r="F247" s="149">
        <v>5000</v>
      </c>
      <c r="G247" s="87">
        <v>5000</v>
      </c>
      <c r="H247" s="107">
        <f t="shared" si="19"/>
        <v>0</v>
      </c>
      <c r="I247" s="79">
        <f t="shared" ref="I247:I261" si="22">J247-G247</f>
        <v>0</v>
      </c>
      <c r="J247" s="111">
        <v>5000</v>
      </c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</row>
    <row r="248" spans="1:23" s="4" customFormat="1">
      <c r="B248" s="4">
        <v>210</v>
      </c>
      <c r="C248" s="47">
        <v>5705700</v>
      </c>
      <c r="D248" s="4" t="s">
        <v>264</v>
      </c>
      <c r="E248" s="148">
        <v>5445</v>
      </c>
      <c r="F248" s="149">
        <v>5445</v>
      </c>
      <c r="G248" s="87">
        <v>5445</v>
      </c>
      <c r="H248" s="107">
        <f t="shared" si="19"/>
        <v>0</v>
      </c>
      <c r="I248" s="79">
        <f t="shared" si="22"/>
        <v>0</v>
      </c>
      <c r="J248" s="111">
        <v>5445</v>
      </c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</row>
    <row r="249" spans="1:23" s="4" customFormat="1">
      <c r="B249" s="4">
        <v>210</v>
      </c>
      <c r="C249" s="47">
        <v>5705700</v>
      </c>
      <c r="D249" s="4" t="s">
        <v>6</v>
      </c>
      <c r="E249" s="148">
        <v>3000</v>
      </c>
      <c r="F249" s="149">
        <v>3500</v>
      </c>
      <c r="G249" s="87">
        <v>3640</v>
      </c>
      <c r="H249" s="107">
        <f t="shared" si="19"/>
        <v>0</v>
      </c>
      <c r="I249" s="79">
        <f t="shared" si="22"/>
        <v>0</v>
      </c>
      <c r="J249" s="111">
        <v>3640</v>
      </c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</row>
    <row r="250" spans="1:23" s="4" customFormat="1">
      <c r="B250" s="4">
        <v>210</v>
      </c>
      <c r="C250" s="47">
        <v>5705700</v>
      </c>
      <c r="D250" s="4" t="s">
        <v>89</v>
      </c>
      <c r="E250" s="148">
        <v>0</v>
      </c>
      <c r="F250" s="149">
        <v>0</v>
      </c>
      <c r="G250" s="87"/>
      <c r="H250" s="107"/>
      <c r="I250" s="79">
        <f t="shared" si="22"/>
        <v>0</v>
      </c>
      <c r="J250" s="111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</row>
    <row r="251" spans="1:23" s="4" customFormat="1">
      <c r="B251" s="4">
        <v>210</v>
      </c>
      <c r="C251" s="47">
        <v>5705700</v>
      </c>
      <c r="D251" s="4" t="s">
        <v>253</v>
      </c>
      <c r="E251" s="148">
        <v>2000</v>
      </c>
      <c r="F251" s="149">
        <v>2000</v>
      </c>
      <c r="G251" s="87">
        <v>2400</v>
      </c>
      <c r="H251" s="107">
        <f t="shared" si="19"/>
        <v>0.66666666666666663</v>
      </c>
      <c r="I251" s="79">
        <f t="shared" si="22"/>
        <v>1600</v>
      </c>
      <c r="J251" s="111">
        <v>4000</v>
      </c>
      <c r="K251" s="197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</row>
    <row r="252" spans="1:23" s="4" customFormat="1">
      <c r="B252" s="4">
        <v>210</v>
      </c>
      <c r="C252" s="47">
        <v>5705700</v>
      </c>
      <c r="D252" s="4" t="s">
        <v>259</v>
      </c>
      <c r="E252" s="148">
        <v>2500</v>
      </c>
      <c r="F252" s="149">
        <v>2500</v>
      </c>
      <c r="G252" s="87">
        <v>3000</v>
      </c>
      <c r="H252" s="107">
        <f t="shared" si="19"/>
        <v>0</v>
      </c>
      <c r="I252" s="79">
        <f t="shared" si="22"/>
        <v>0</v>
      </c>
      <c r="J252" s="111">
        <v>3000</v>
      </c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</row>
    <row r="253" spans="1:23" s="4" customFormat="1">
      <c r="B253" s="4">
        <v>210</v>
      </c>
      <c r="C253" s="47">
        <v>5705700</v>
      </c>
      <c r="D253" s="4" t="s">
        <v>8</v>
      </c>
      <c r="E253" s="148">
        <v>3575</v>
      </c>
      <c r="F253" s="149">
        <v>3575</v>
      </c>
      <c r="G253" s="87">
        <v>3575</v>
      </c>
      <c r="H253" s="107">
        <f t="shared" si="19"/>
        <v>0</v>
      </c>
      <c r="I253" s="79">
        <f t="shared" si="22"/>
        <v>0</v>
      </c>
      <c r="J253" s="111">
        <v>3575</v>
      </c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</row>
    <row r="254" spans="1:23" s="4" customFormat="1">
      <c r="B254" s="4">
        <v>210</v>
      </c>
      <c r="C254" s="47">
        <v>5705700</v>
      </c>
      <c r="D254" s="4" t="s">
        <v>258</v>
      </c>
      <c r="E254" s="148">
        <v>2500</v>
      </c>
      <c r="F254" s="149">
        <v>2500</v>
      </c>
      <c r="G254" s="87">
        <v>2500</v>
      </c>
      <c r="H254" s="107">
        <f t="shared" si="19"/>
        <v>0</v>
      </c>
      <c r="I254" s="79">
        <f t="shared" si="22"/>
        <v>0</v>
      </c>
      <c r="J254" s="111">
        <v>2500</v>
      </c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</row>
    <row r="255" spans="1:23" s="4" customFormat="1">
      <c r="B255" s="4">
        <v>210</v>
      </c>
      <c r="C255" s="47">
        <v>5705700</v>
      </c>
      <c r="D255" s="4" t="s">
        <v>262</v>
      </c>
      <c r="E255" s="148">
        <v>4000</v>
      </c>
      <c r="F255" s="149">
        <v>4000</v>
      </c>
      <c r="G255" s="87">
        <v>4000</v>
      </c>
      <c r="H255" s="107">
        <f t="shared" si="19"/>
        <v>0</v>
      </c>
      <c r="I255" s="79">
        <f t="shared" si="22"/>
        <v>0</v>
      </c>
      <c r="J255" s="111">
        <v>4000</v>
      </c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</row>
    <row r="256" spans="1:23" s="4" customFormat="1">
      <c r="B256" s="4">
        <v>210</v>
      </c>
      <c r="C256" s="47">
        <v>5705700</v>
      </c>
      <c r="D256" s="4" t="s">
        <v>249</v>
      </c>
      <c r="E256" s="148">
        <v>3920</v>
      </c>
      <c r="F256" s="149">
        <v>3980</v>
      </c>
      <c r="G256" s="87">
        <v>3980</v>
      </c>
      <c r="H256" s="107">
        <f t="shared" si="19"/>
        <v>0</v>
      </c>
      <c r="I256" s="79">
        <f t="shared" si="22"/>
        <v>0</v>
      </c>
      <c r="J256" s="111">
        <v>3980</v>
      </c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</row>
    <row r="257" spans="1:23" s="4" customFormat="1">
      <c r="B257" s="4">
        <v>210</v>
      </c>
      <c r="C257" s="47">
        <v>5705700</v>
      </c>
      <c r="D257" s="4" t="s">
        <v>408</v>
      </c>
      <c r="E257" s="148">
        <v>1700</v>
      </c>
      <c r="F257" s="149">
        <v>7750</v>
      </c>
      <c r="G257" s="87">
        <v>0</v>
      </c>
      <c r="H257" s="107"/>
      <c r="I257" s="79">
        <f t="shared" si="22"/>
        <v>0</v>
      </c>
      <c r="J257" s="111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</row>
    <row r="258" spans="1:23" s="4" customFormat="1">
      <c r="B258" s="4">
        <v>210</v>
      </c>
      <c r="C258" s="47">
        <v>5705700</v>
      </c>
      <c r="D258" s="4" t="s">
        <v>248</v>
      </c>
      <c r="E258" s="148">
        <v>860</v>
      </c>
      <c r="F258" s="149">
        <v>860</v>
      </c>
      <c r="G258" s="87">
        <v>1120</v>
      </c>
      <c r="H258" s="107">
        <f t="shared" si="19"/>
        <v>0</v>
      </c>
      <c r="I258" s="79">
        <f t="shared" si="22"/>
        <v>0</v>
      </c>
      <c r="J258" s="111">
        <v>1120</v>
      </c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</row>
    <row r="259" spans="1:23" s="4" customFormat="1">
      <c r="B259" s="4">
        <v>210</v>
      </c>
      <c r="C259" s="47">
        <v>5705700</v>
      </c>
      <c r="D259" s="4" t="s">
        <v>90</v>
      </c>
      <c r="E259" s="148">
        <v>5000</v>
      </c>
      <c r="F259" s="149">
        <v>5000</v>
      </c>
      <c r="G259" s="87">
        <v>5000</v>
      </c>
      <c r="H259" s="107">
        <f t="shared" si="19"/>
        <v>0</v>
      </c>
      <c r="I259" s="79">
        <f t="shared" si="22"/>
        <v>0</v>
      </c>
      <c r="J259" s="111">
        <v>5000</v>
      </c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</row>
    <row r="260" spans="1:23" s="75" customFormat="1">
      <c r="B260" s="75">
        <v>210</v>
      </c>
      <c r="C260" s="76">
        <v>5705700</v>
      </c>
      <c r="D260" s="84" t="s">
        <v>373</v>
      </c>
      <c r="E260" s="148">
        <v>6100</v>
      </c>
      <c r="F260" s="149">
        <v>4145</v>
      </c>
      <c r="G260" s="147">
        <v>4145</v>
      </c>
      <c r="H260" s="107">
        <f t="shared" si="19"/>
        <v>-0.4825090470446321</v>
      </c>
      <c r="I260" s="79">
        <f t="shared" si="22"/>
        <v>-2000</v>
      </c>
      <c r="J260" s="111">
        <v>2145</v>
      </c>
      <c r="K260" s="195"/>
      <c r="L260" s="164"/>
      <c r="M260" s="164"/>
      <c r="N260" s="164"/>
      <c r="O260" s="164"/>
      <c r="P260" s="164"/>
      <c r="Q260" s="164"/>
      <c r="R260" s="164"/>
      <c r="S260" s="164"/>
      <c r="T260" s="164"/>
      <c r="U260" s="164"/>
      <c r="V260" s="164"/>
      <c r="W260" s="164"/>
    </row>
    <row r="261" spans="1:23" s="4" customFormat="1">
      <c r="B261" s="4">
        <v>210</v>
      </c>
      <c r="C261" s="47">
        <v>5705850</v>
      </c>
      <c r="D261" s="4" t="s">
        <v>260</v>
      </c>
      <c r="E261" s="148">
        <v>0</v>
      </c>
      <c r="F261" s="149">
        <v>0</v>
      </c>
      <c r="G261" s="109">
        <v>0</v>
      </c>
      <c r="H261" s="107"/>
      <c r="I261" s="79">
        <f t="shared" si="22"/>
        <v>0</v>
      </c>
      <c r="J261" s="112">
        <v>0</v>
      </c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</row>
    <row r="262" spans="1:23" s="4" customFormat="1">
      <c r="A262" s="4" t="s">
        <v>343</v>
      </c>
      <c r="B262" s="6" t="s">
        <v>2</v>
      </c>
      <c r="C262" s="46" t="s">
        <v>91</v>
      </c>
      <c r="D262" s="6"/>
      <c r="E262" s="153">
        <f>SUM(E220:E261)</f>
        <v>1346073</v>
      </c>
      <c r="F262" s="154">
        <f>SUM(F220:F261)</f>
        <v>1513779</v>
      </c>
      <c r="G262" s="86">
        <f>SUM(G220:G261)</f>
        <v>1456673</v>
      </c>
      <c r="H262" s="108">
        <f t="shared" si="19"/>
        <v>6.7139982686574132E-2</v>
      </c>
      <c r="I262" s="175">
        <f>J262-G262</f>
        <v>97801</v>
      </c>
      <c r="J262" s="196">
        <f>SUM(J220:J261)</f>
        <v>1554474</v>
      </c>
      <c r="K262" s="6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</row>
    <row r="263" spans="1:23" s="4" customFormat="1">
      <c r="C263" s="47"/>
      <c r="E263" s="148"/>
      <c r="F263" s="150"/>
      <c r="G263" s="87"/>
      <c r="H263" s="107"/>
      <c r="I263" s="79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</row>
    <row r="264" spans="1:23" s="4" customFormat="1">
      <c r="B264" s="6">
        <v>220</v>
      </c>
      <c r="C264" s="46" t="s">
        <v>92</v>
      </c>
      <c r="D264" s="6"/>
      <c r="E264" s="151"/>
      <c r="F264" s="152"/>
      <c r="G264" s="86"/>
      <c r="H264" s="174"/>
      <c r="I264" s="175"/>
      <c r="J264" s="86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</row>
    <row r="265" spans="1:23" s="4" customFormat="1">
      <c r="B265" s="4">
        <v>220</v>
      </c>
      <c r="C265" s="47">
        <v>5105112</v>
      </c>
      <c r="D265" s="4" t="s">
        <v>93</v>
      </c>
      <c r="E265" s="148">
        <v>49750</v>
      </c>
      <c r="F265" s="149">
        <v>103500</v>
      </c>
      <c r="G265" s="109">
        <f>103500+5000</f>
        <v>108500</v>
      </c>
      <c r="H265" s="107">
        <f t="shared" si="19"/>
        <v>0.10599078341013825</v>
      </c>
      <c r="I265" s="79">
        <f t="shared" si="17"/>
        <v>11500</v>
      </c>
      <c r="J265" s="109">
        <v>120000</v>
      </c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</row>
    <row r="266" spans="1:23" s="6" customFormat="1">
      <c r="A266" s="4"/>
      <c r="B266" s="4">
        <v>220</v>
      </c>
      <c r="C266" s="47"/>
      <c r="D266" s="4" t="s">
        <v>86</v>
      </c>
      <c r="E266" s="148">
        <v>0</v>
      </c>
      <c r="F266" s="149">
        <v>0</v>
      </c>
      <c r="G266" s="109"/>
      <c r="H266" s="107"/>
      <c r="I266" s="79">
        <f t="shared" si="17"/>
        <v>0</v>
      </c>
      <c r="J266" s="109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</row>
    <row r="267" spans="1:23" s="4" customFormat="1">
      <c r="B267" s="4">
        <v>220</v>
      </c>
      <c r="C267" s="47">
        <v>5105120</v>
      </c>
      <c r="D267" s="4" t="s">
        <v>94</v>
      </c>
      <c r="E267" s="148">
        <v>42388</v>
      </c>
      <c r="F267" s="149">
        <v>43888</v>
      </c>
      <c r="G267" s="109">
        <v>58888</v>
      </c>
      <c r="H267" s="107">
        <f t="shared" si="19"/>
        <v>-1.5079472897704116E-2</v>
      </c>
      <c r="I267" s="79">
        <f t="shared" si="17"/>
        <v>-888</v>
      </c>
      <c r="J267" s="109">
        <v>58000</v>
      </c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</row>
    <row r="268" spans="1:23" s="6" customFormat="1">
      <c r="A268" s="4"/>
      <c r="B268" s="4">
        <v>220</v>
      </c>
      <c r="C268" s="47">
        <v>5105150</v>
      </c>
      <c r="D268" s="4" t="s">
        <v>367</v>
      </c>
      <c r="E268" s="148">
        <v>3847</v>
      </c>
      <c r="F268" s="149">
        <v>4060</v>
      </c>
      <c r="G268" s="87">
        <v>4362</v>
      </c>
      <c r="H268" s="107">
        <f t="shared" si="19"/>
        <v>0.16391563502980283</v>
      </c>
      <c r="I268" s="79">
        <f t="shared" si="17"/>
        <v>715</v>
      </c>
      <c r="J268" s="87">
        <v>5077</v>
      </c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</row>
    <row r="269" spans="1:23" s="4" customFormat="1">
      <c r="B269" s="4">
        <v>220</v>
      </c>
      <c r="C269" s="47">
        <v>5105156</v>
      </c>
      <c r="D269" s="4" t="s">
        <v>87</v>
      </c>
      <c r="E269" s="148">
        <v>4000</v>
      </c>
      <c r="F269" s="149">
        <v>3500</v>
      </c>
      <c r="G269" s="87">
        <v>3500</v>
      </c>
      <c r="H269" s="107">
        <f t="shared" ref="H269:H328" si="23">(J269-G269)/G269</f>
        <v>0</v>
      </c>
      <c r="I269" s="79">
        <f t="shared" ref="I269:I332" si="24">J269-G269</f>
        <v>0</v>
      </c>
      <c r="J269" s="87">
        <v>3500</v>
      </c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</row>
    <row r="270" spans="1:23" s="4" customFormat="1">
      <c r="B270" s="4">
        <v>220</v>
      </c>
      <c r="C270" s="47">
        <v>5705244</v>
      </c>
      <c r="D270" s="4" t="s">
        <v>63</v>
      </c>
      <c r="E270" s="148">
        <v>10000</v>
      </c>
      <c r="F270" s="149">
        <v>10000</v>
      </c>
      <c r="G270" s="87">
        <v>11000</v>
      </c>
      <c r="H270" s="107">
        <f t="shared" si="23"/>
        <v>-9.0909090909090912E-2</v>
      </c>
      <c r="I270" s="79">
        <f t="shared" si="24"/>
        <v>-1000</v>
      </c>
      <c r="J270" s="87">
        <v>10000</v>
      </c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</row>
    <row r="271" spans="1:23" s="4" customFormat="1">
      <c r="B271" s="4">
        <v>220</v>
      </c>
      <c r="C271" s="47">
        <v>5705243</v>
      </c>
      <c r="D271" s="4" t="s">
        <v>290</v>
      </c>
      <c r="E271" s="148">
        <v>2500</v>
      </c>
      <c r="F271" s="149">
        <v>0</v>
      </c>
      <c r="G271" s="87">
        <v>0</v>
      </c>
      <c r="H271" s="107"/>
      <c r="I271" s="79">
        <f t="shared" si="24"/>
        <v>0</v>
      </c>
      <c r="J271" s="87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</row>
    <row r="272" spans="1:23" s="4" customFormat="1">
      <c r="B272" s="4">
        <v>220</v>
      </c>
      <c r="C272" s="47">
        <v>5705242</v>
      </c>
      <c r="D272" s="4" t="s">
        <v>292</v>
      </c>
      <c r="E272" s="148">
        <v>5000</v>
      </c>
      <c r="F272" s="149">
        <v>5000</v>
      </c>
      <c r="G272" s="87">
        <v>5000</v>
      </c>
      <c r="H272" s="107">
        <f t="shared" si="23"/>
        <v>0</v>
      </c>
      <c r="I272" s="79">
        <f t="shared" si="24"/>
        <v>0</v>
      </c>
      <c r="J272" s="87">
        <v>5000</v>
      </c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</row>
    <row r="273" spans="1:23" s="4" customFormat="1">
      <c r="B273" s="4">
        <v>220</v>
      </c>
      <c r="C273" s="47">
        <v>5705243</v>
      </c>
      <c r="D273" s="4" t="s">
        <v>16</v>
      </c>
      <c r="E273" s="148">
        <v>16000</v>
      </c>
      <c r="F273" s="149">
        <v>22500</v>
      </c>
      <c r="G273" s="87">
        <v>25500</v>
      </c>
      <c r="H273" s="107">
        <f t="shared" si="23"/>
        <v>1.9607843137254902E-2</v>
      </c>
      <c r="I273" s="79">
        <f t="shared" si="24"/>
        <v>500</v>
      </c>
      <c r="J273" s="87">
        <v>26000</v>
      </c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</row>
    <row r="274" spans="1:23" s="4" customFormat="1">
      <c r="B274" s="4">
        <v>220</v>
      </c>
      <c r="C274" s="47">
        <v>5705240</v>
      </c>
      <c r="D274" s="4" t="s">
        <v>293</v>
      </c>
      <c r="E274" s="148">
        <v>2000</v>
      </c>
      <c r="F274" s="149">
        <v>2500</v>
      </c>
      <c r="G274" s="87">
        <v>2500</v>
      </c>
      <c r="H274" s="107">
        <f t="shared" si="23"/>
        <v>0</v>
      </c>
      <c r="I274" s="79">
        <f t="shared" si="24"/>
        <v>0</v>
      </c>
      <c r="J274" s="87">
        <v>2500</v>
      </c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</row>
    <row r="275" spans="1:23" s="4" customFormat="1">
      <c r="B275" s="4">
        <v>220</v>
      </c>
      <c r="C275" s="47">
        <v>5705275</v>
      </c>
      <c r="D275" s="4" t="s">
        <v>88</v>
      </c>
      <c r="E275" s="148">
        <v>1500</v>
      </c>
      <c r="F275" s="149">
        <v>2000</v>
      </c>
      <c r="G275" s="87">
        <v>2000</v>
      </c>
      <c r="H275" s="107">
        <f t="shared" si="23"/>
        <v>6</v>
      </c>
      <c r="I275" s="79">
        <f t="shared" si="24"/>
        <v>12000</v>
      </c>
      <c r="J275" s="87">
        <v>14000</v>
      </c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</row>
    <row r="276" spans="1:23" s="4" customFormat="1">
      <c r="B276" s="4">
        <v>220</v>
      </c>
      <c r="C276" s="47">
        <v>5705240</v>
      </c>
      <c r="D276" s="4" t="s">
        <v>291</v>
      </c>
      <c r="E276" s="148">
        <v>560</v>
      </c>
      <c r="F276" s="149">
        <v>560</v>
      </c>
      <c r="G276" s="87">
        <v>560</v>
      </c>
      <c r="H276" s="107">
        <f t="shared" si="23"/>
        <v>0</v>
      </c>
      <c r="I276" s="79">
        <f t="shared" si="24"/>
        <v>0</v>
      </c>
      <c r="J276" s="87">
        <v>560</v>
      </c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</row>
    <row r="277" spans="1:23" s="4" customFormat="1">
      <c r="B277" s="4">
        <v>220</v>
      </c>
      <c r="C277" s="47">
        <v>5705423</v>
      </c>
      <c r="D277" s="4" t="s">
        <v>98</v>
      </c>
      <c r="E277" s="148">
        <v>2850</v>
      </c>
      <c r="F277" s="149">
        <v>2850</v>
      </c>
      <c r="G277" s="87">
        <v>2850</v>
      </c>
      <c r="H277" s="107">
        <f t="shared" si="23"/>
        <v>5.2631578947368418E-2</v>
      </c>
      <c r="I277" s="79">
        <f t="shared" si="24"/>
        <v>150</v>
      </c>
      <c r="J277" s="87">
        <v>3000</v>
      </c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</row>
    <row r="278" spans="1:23" s="4" customFormat="1">
      <c r="B278" s="4">
        <v>220</v>
      </c>
      <c r="C278" s="47">
        <v>5705715</v>
      </c>
      <c r="D278" s="4" t="s">
        <v>99</v>
      </c>
      <c r="E278" s="148">
        <v>500</v>
      </c>
      <c r="F278" s="149">
        <v>500</v>
      </c>
      <c r="G278" s="87">
        <v>800</v>
      </c>
      <c r="H278" s="107">
        <f t="shared" si="23"/>
        <v>0.25</v>
      </c>
      <c r="I278" s="79">
        <f t="shared" si="24"/>
        <v>200</v>
      </c>
      <c r="J278" s="87">
        <v>1000</v>
      </c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</row>
    <row r="279" spans="1:23" s="4" customFormat="1">
      <c r="B279" s="4">
        <v>220</v>
      </c>
      <c r="C279" s="47">
        <v>5705491</v>
      </c>
      <c r="D279" s="4" t="s">
        <v>285</v>
      </c>
      <c r="E279" s="148">
        <v>12123</v>
      </c>
      <c r="F279" s="149">
        <v>13000</v>
      </c>
      <c r="G279" s="87">
        <v>13000</v>
      </c>
      <c r="H279" s="107">
        <f t="shared" si="23"/>
        <v>0</v>
      </c>
      <c r="I279" s="79">
        <f t="shared" si="24"/>
        <v>0</v>
      </c>
      <c r="J279" s="87">
        <v>13000</v>
      </c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</row>
    <row r="280" spans="1:23" s="4" customFormat="1">
      <c r="B280" s="4">
        <v>220</v>
      </c>
      <c r="C280" s="47">
        <v>5705420</v>
      </c>
      <c r="D280" s="4" t="s">
        <v>6</v>
      </c>
      <c r="E280" s="148">
        <v>3200</v>
      </c>
      <c r="F280" s="149">
        <v>3200</v>
      </c>
      <c r="G280" s="87">
        <v>3200</v>
      </c>
      <c r="H280" s="107">
        <f t="shared" si="23"/>
        <v>0</v>
      </c>
      <c r="I280" s="79">
        <f t="shared" si="24"/>
        <v>0</v>
      </c>
      <c r="J280" s="87">
        <v>3200</v>
      </c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</row>
    <row r="281" spans="1:23" s="4" customFormat="1">
      <c r="B281" s="4">
        <v>220</v>
      </c>
      <c r="C281" s="47">
        <v>5705731</v>
      </c>
      <c r="D281" s="4" t="s">
        <v>368</v>
      </c>
      <c r="E281" s="148">
        <v>1500</v>
      </c>
      <c r="F281" s="149">
        <v>2000</v>
      </c>
      <c r="G281" s="87">
        <v>2500</v>
      </c>
      <c r="H281" s="107">
        <f t="shared" si="23"/>
        <v>0</v>
      </c>
      <c r="I281" s="79">
        <f t="shared" si="24"/>
        <v>0</v>
      </c>
      <c r="J281" s="87">
        <v>2500</v>
      </c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</row>
    <row r="282" spans="1:23" s="4" customFormat="1">
      <c r="B282" s="4">
        <v>220</v>
      </c>
      <c r="C282" s="47">
        <v>5705731</v>
      </c>
      <c r="D282" s="4" t="s">
        <v>8</v>
      </c>
      <c r="E282" s="148">
        <v>2000</v>
      </c>
      <c r="F282" s="149">
        <v>2000</v>
      </c>
      <c r="G282" s="87">
        <v>2500</v>
      </c>
      <c r="H282" s="107">
        <f t="shared" si="23"/>
        <v>0.2</v>
      </c>
      <c r="I282" s="79">
        <f t="shared" si="24"/>
        <v>500</v>
      </c>
      <c r="J282" s="87">
        <v>3000</v>
      </c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</row>
    <row r="283" spans="1:23" s="4" customFormat="1">
      <c r="B283" s="4">
        <v>220</v>
      </c>
      <c r="C283" s="47">
        <v>5705855</v>
      </c>
      <c r="D283" s="4" t="s">
        <v>391</v>
      </c>
      <c r="E283" s="148">
        <v>9000</v>
      </c>
      <c r="F283" s="149">
        <v>9000</v>
      </c>
      <c r="G283" s="87">
        <v>9000</v>
      </c>
      <c r="H283" s="107">
        <f t="shared" si="23"/>
        <v>0.22222222222222221</v>
      </c>
      <c r="I283" s="79">
        <f t="shared" si="24"/>
        <v>2000</v>
      </c>
      <c r="J283" s="87">
        <v>11000</v>
      </c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</row>
    <row r="284" spans="1:23" s="75" customFormat="1">
      <c r="B284" s="84">
        <v>220</v>
      </c>
      <c r="C284" s="76"/>
      <c r="D284" s="84" t="s">
        <v>377</v>
      </c>
      <c r="E284" s="148">
        <v>1000</v>
      </c>
      <c r="F284" s="149">
        <v>1000</v>
      </c>
      <c r="G284" s="147">
        <v>1000</v>
      </c>
      <c r="H284" s="107">
        <f t="shared" si="23"/>
        <v>0</v>
      </c>
      <c r="I284" s="79">
        <f t="shared" si="24"/>
        <v>0</v>
      </c>
      <c r="J284" s="147">
        <v>1000</v>
      </c>
      <c r="K284" s="164"/>
      <c r="L284" s="164"/>
      <c r="M284" s="164"/>
      <c r="N284" s="164"/>
      <c r="O284" s="164"/>
      <c r="P284" s="164"/>
      <c r="Q284" s="164"/>
      <c r="R284" s="164"/>
      <c r="S284" s="164"/>
      <c r="T284" s="164"/>
      <c r="U284" s="164"/>
      <c r="V284" s="164"/>
      <c r="W284" s="164"/>
    </row>
    <row r="285" spans="1:23" s="4" customFormat="1">
      <c r="C285" s="47"/>
      <c r="D285" s="4" t="s">
        <v>436</v>
      </c>
      <c r="E285" s="148"/>
      <c r="F285" s="149"/>
      <c r="G285" s="109">
        <v>100000</v>
      </c>
      <c r="H285" s="107">
        <f t="shared" si="23"/>
        <v>-1</v>
      </c>
      <c r="I285" s="79">
        <f t="shared" si="24"/>
        <v>-100000</v>
      </c>
      <c r="J285" s="109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</row>
    <row r="286" spans="1:23" s="4" customFormat="1">
      <c r="A286" s="4" t="s">
        <v>343</v>
      </c>
      <c r="B286" s="6" t="s">
        <v>2</v>
      </c>
      <c r="C286" s="46" t="s">
        <v>100</v>
      </c>
      <c r="D286" s="6"/>
      <c r="E286" s="153">
        <f t="shared" ref="E286:F286" si="25">SUM(E265:E284)</f>
        <v>169718</v>
      </c>
      <c r="F286" s="154">
        <f t="shared" si="25"/>
        <v>231058</v>
      </c>
      <c r="G286" s="110">
        <f>SUM(G265:G285)</f>
        <v>356660</v>
      </c>
      <c r="H286" s="174">
        <f t="shared" si="23"/>
        <v>-0.2083861380586553</v>
      </c>
      <c r="I286" s="175">
        <f t="shared" si="24"/>
        <v>-74323</v>
      </c>
      <c r="J286" s="110">
        <f>SUM(J265:J285)</f>
        <v>282337</v>
      </c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</row>
    <row r="287" spans="1:23" s="4" customFormat="1">
      <c r="C287" s="47"/>
      <c r="E287" s="148"/>
      <c r="F287" s="150"/>
      <c r="G287" s="87"/>
      <c r="H287" s="107"/>
      <c r="I287" s="79"/>
      <c r="J287" s="87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</row>
    <row r="288" spans="1:23" s="4" customFormat="1">
      <c r="B288" s="6">
        <v>230</v>
      </c>
      <c r="C288" s="46" t="s">
        <v>101</v>
      </c>
      <c r="D288" s="6"/>
      <c r="E288" s="151"/>
      <c r="F288" s="152"/>
      <c r="G288" s="86"/>
      <c r="H288" s="174"/>
      <c r="I288" s="175"/>
      <c r="J288" s="86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</row>
    <row r="289" spans="1:23" s="4" customFormat="1">
      <c r="B289" s="4">
        <v>230</v>
      </c>
      <c r="C289" s="47">
        <v>5105112</v>
      </c>
      <c r="D289" s="4" t="s">
        <v>102</v>
      </c>
      <c r="E289" s="148">
        <v>49750</v>
      </c>
      <c r="F289" s="149">
        <v>0</v>
      </c>
      <c r="G289" s="109">
        <v>0</v>
      </c>
      <c r="H289" s="107"/>
      <c r="I289" s="79">
        <f t="shared" si="24"/>
        <v>0</v>
      </c>
      <c r="J289" s="109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</row>
    <row r="290" spans="1:23" s="4" customFormat="1">
      <c r="B290" s="4">
        <v>230</v>
      </c>
      <c r="C290" s="47">
        <v>5105110</v>
      </c>
      <c r="D290" s="4" t="s">
        <v>86</v>
      </c>
      <c r="E290" s="148">
        <v>286829</v>
      </c>
      <c r="F290" s="149">
        <v>300200</v>
      </c>
      <c r="G290" s="109">
        <v>300200</v>
      </c>
      <c r="H290" s="107">
        <f t="shared" si="23"/>
        <v>0.54896735509660222</v>
      </c>
      <c r="I290" s="79">
        <f t="shared" si="24"/>
        <v>164800</v>
      </c>
      <c r="J290" s="109">
        <f>365000+100000</f>
        <v>465000</v>
      </c>
      <c r="K290" s="165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</row>
    <row r="291" spans="1:23" s="4" customFormat="1">
      <c r="B291" s="4">
        <v>230</v>
      </c>
      <c r="C291" s="47"/>
      <c r="D291" s="88" t="s">
        <v>103</v>
      </c>
      <c r="E291" s="148">
        <v>0</v>
      </c>
      <c r="F291" s="149">
        <v>28000</v>
      </c>
      <c r="G291" s="109">
        <v>38000</v>
      </c>
      <c r="H291" s="107">
        <f t="shared" si="23"/>
        <v>7.9684210526315788E-2</v>
      </c>
      <c r="I291" s="79">
        <f t="shared" si="24"/>
        <v>3028</v>
      </c>
      <c r="J291" s="109">
        <v>41028</v>
      </c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</row>
    <row r="292" spans="1:23" s="4" customFormat="1">
      <c r="B292" s="4">
        <v>230</v>
      </c>
      <c r="C292" s="47">
        <v>5105154</v>
      </c>
      <c r="D292" s="4" t="s">
        <v>327</v>
      </c>
      <c r="E292" s="148">
        <v>104737</v>
      </c>
      <c r="F292" s="149">
        <v>135280</v>
      </c>
      <c r="G292" s="109">
        <v>140000</v>
      </c>
      <c r="H292" s="107">
        <f t="shared" si="23"/>
        <v>0</v>
      </c>
      <c r="I292" s="79">
        <f t="shared" si="24"/>
        <v>0</v>
      </c>
      <c r="J292" s="109">
        <v>140000</v>
      </c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</row>
    <row r="293" spans="1:23" s="6" customFormat="1">
      <c r="A293" s="4"/>
      <c r="B293" s="4">
        <v>230</v>
      </c>
      <c r="C293" s="47">
        <v>5105131</v>
      </c>
      <c r="D293" s="4" t="s">
        <v>14</v>
      </c>
      <c r="E293" s="148">
        <v>30000</v>
      </c>
      <c r="F293" s="149">
        <v>37000</v>
      </c>
      <c r="G293" s="109">
        <v>44000</v>
      </c>
      <c r="H293" s="107">
        <f t="shared" si="23"/>
        <v>0</v>
      </c>
      <c r="I293" s="79">
        <f t="shared" si="24"/>
        <v>0</v>
      </c>
      <c r="J293" s="109">
        <v>44000</v>
      </c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</row>
    <row r="294" spans="1:23" s="4" customFormat="1">
      <c r="B294" s="4">
        <v>230</v>
      </c>
      <c r="C294" s="47">
        <v>5105156</v>
      </c>
      <c r="D294" s="4" t="s">
        <v>87</v>
      </c>
      <c r="E294" s="148">
        <v>6500</v>
      </c>
      <c r="F294" s="149">
        <v>6500</v>
      </c>
      <c r="G294" s="109">
        <v>6500</v>
      </c>
      <c r="H294" s="107">
        <f t="shared" si="23"/>
        <v>0</v>
      </c>
      <c r="I294" s="79">
        <f t="shared" si="24"/>
        <v>0</v>
      </c>
      <c r="J294" s="109">
        <v>6500</v>
      </c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</row>
    <row r="295" spans="1:23" s="4" customFormat="1">
      <c r="B295" s="4">
        <v>230</v>
      </c>
      <c r="C295" s="47">
        <v>5705260</v>
      </c>
      <c r="D295" s="4" t="s">
        <v>284</v>
      </c>
      <c r="E295" s="148">
        <v>6000</v>
      </c>
      <c r="F295" s="149">
        <v>6000</v>
      </c>
      <c r="G295" s="109">
        <v>6000</v>
      </c>
      <c r="H295" s="107">
        <f t="shared" si="23"/>
        <v>0</v>
      </c>
      <c r="I295" s="79">
        <f t="shared" si="24"/>
        <v>0</v>
      </c>
      <c r="J295" s="109">
        <v>6000</v>
      </c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</row>
    <row r="296" spans="1:23" s="4" customFormat="1">
      <c r="B296" s="4">
        <v>230</v>
      </c>
      <c r="C296" s="47">
        <v>5705242</v>
      </c>
      <c r="D296" s="4" t="s">
        <v>289</v>
      </c>
      <c r="E296" s="148">
        <v>9300</v>
      </c>
      <c r="F296" s="149">
        <v>10000</v>
      </c>
      <c r="G296" s="109">
        <v>10000</v>
      </c>
      <c r="H296" s="107">
        <f t="shared" si="23"/>
        <v>0.4</v>
      </c>
      <c r="I296" s="79">
        <f t="shared" si="24"/>
        <v>4000</v>
      </c>
      <c r="J296" s="109">
        <v>14000</v>
      </c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</row>
    <row r="297" spans="1:23" s="4" customFormat="1">
      <c r="B297" s="4">
        <v>230</v>
      </c>
      <c r="C297" s="47">
        <v>5705243</v>
      </c>
      <c r="D297" s="4" t="s">
        <v>323</v>
      </c>
      <c r="E297" s="148">
        <v>6500</v>
      </c>
      <c r="F297" s="149">
        <v>7000</v>
      </c>
      <c r="G297" s="109">
        <v>8000</v>
      </c>
      <c r="H297" s="107">
        <f t="shared" si="23"/>
        <v>0.25</v>
      </c>
      <c r="I297" s="79">
        <f t="shared" si="24"/>
        <v>2000</v>
      </c>
      <c r="J297" s="109">
        <v>10000</v>
      </c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</row>
    <row r="298" spans="1:23" s="4" customFormat="1">
      <c r="B298" s="4">
        <v>230</v>
      </c>
      <c r="C298" s="47">
        <v>5705289</v>
      </c>
      <c r="D298" s="4" t="s">
        <v>288</v>
      </c>
      <c r="E298" s="148">
        <v>5500</v>
      </c>
      <c r="F298" s="149">
        <v>5500</v>
      </c>
      <c r="G298" s="109">
        <v>5500</v>
      </c>
      <c r="H298" s="107">
        <f t="shared" si="23"/>
        <v>0</v>
      </c>
      <c r="I298" s="79">
        <f t="shared" si="24"/>
        <v>0</v>
      </c>
      <c r="J298" s="109">
        <v>5500</v>
      </c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</row>
    <row r="299" spans="1:23" s="4" customFormat="1">
      <c r="B299" s="4">
        <v>230</v>
      </c>
      <c r="C299" s="47">
        <v>5705342</v>
      </c>
      <c r="D299" s="4" t="s">
        <v>286</v>
      </c>
      <c r="E299" s="148">
        <v>3000</v>
      </c>
      <c r="F299" s="149">
        <v>3000</v>
      </c>
      <c r="G299" s="109">
        <v>3000</v>
      </c>
      <c r="H299" s="107">
        <f t="shared" si="23"/>
        <v>0.33333333333333331</v>
      </c>
      <c r="I299" s="79">
        <f t="shared" si="24"/>
        <v>1000</v>
      </c>
      <c r="J299" s="109">
        <v>4000</v>
      </c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</row>
    <row r="300" spans="1:23" s="4" customFormat="1">
      <c r="B300" s="4">
        <v>230</v>
      </c>
      <c r="C300" s="47">
        <v>5705715</v>
      </c>
      <c r="D300" s="4" t="s">
        <v>20</v>
      </c>
      <c r="E300" s="148">
        <v>5000</v>
      </c>
      <c r="F300" s="149">
        <v>5000</v>
      </c>
      <c r="G300" s="109">
        <v>5000</v>
      </c>
      <c r="H300" s="107">
        <f t="shared" si="23"/>
        <v>0</v>
      </c>
      <c r="I300" s="79">
        <f t="shared" si="24"/>
        <v>0</v>
      </c>
      <c r="J300" s="109">
        <v>5000</v>
      </c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</row>
    <row r="301" spans="1:23" s="4" customFormat="1">
      <c r="B301" s="4">
        <v>230</v>
      </c>
      <c r="C301" s="47"/>
      <c r="D301" s="4" t="s">
        <v>104</v>
      </c>
      <c r="E301" s="148">
        <v>0</v>
      </c>
      <c r="F301" s="149">
        <v>0</v>
      </c>
      <c r="G301" s="109">
        <v>0</v>
      </c>
      <c r="H301" s="107"/>
      <c r="I301" s="79">
        <f t="shared" si="24"/>
        <v>0</v>
      </c>
      <c r="J301" s="109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</row>
    <row r="302" spans="1:23" s="4" customFormat="1">
      <c r="B302" s="4">
        <v>230</v>
      </c>
      <c r="C302" s="47">
        <v>5705751</v>
      </c>
      <c r="D302" s="4" t="s">
        <v>287</v>
      </c>
      <c r="E302" s="148">
        <v>3400</v>
      </c>
      <c r="F302" s="149">
        <v>3400</v>
      </c>
      <c r="G302" s="109">
        <v>3400</v>
      </c>
      <c r="H302" s="107">
        <f t="shared" si="23"/>
        <v>-0.26470588235294118</v>
      </c>
      <c r="I302" s="79">
        <f t="shared" si="24"/>
        <v>-900</v>
      </c>
      <c r="J302" s="109">
        <v>2500</v>
      </c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</row>
    <row r="303" spans="1:23" s="4" customFormat="1">
      <c r="B303" s="4">
        <v>230</v>
      </c>
      <c r="C303" s="47">
        <v>5705420</v>
      </c>
      <c r="D303" s="4" t="s">
        <v>6</v>
      </c>
      <c r="E303" s="148">
        <v>500</v>
      </c>
      <c r="F303" s="149">
        <v>750</v>
      </c>
      <c r="G303" s="109">
        <v>1000</v>
      </c>
      <c r="H303" s="107">
        <f t="shared" si="23"/>
        <v>0</v>
      </c>
      <c r="I303" s="79">
        <f t="shared" si="24"/>
        <v>0</v>
      </c>
      <c r="J303" s="109">
        <v>1000</v>
      </c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</row>
    <row r="304" spans="1:23" s="4" customFormat="1">
      <c r="B304" s="4">
        <v>230</v>
      </c>
      <c r="C304" s="47">
        <v>5705491</v>
      </c>
      <c r="D304" s="4" t="s">
        <v>285</v>
      </c>
      <c r="E304" s="148">
        <v>5200</v>
      </c>
      <c r="F304" s="149">
        <v>5500</v>
      </c>
      <c r="G304" s="109">
        <v>5500</v>
      </c>
      <c r="H304" s="107">
        <f t="shared" si="23"/>
        <v>0</v>
      </c>
      <c r="I304" s="79">
        <f t="shared" si="24"/>
        <v>0</v>
      </c>
      <c r="J304" s="109">
        <v>5500</v>
      </c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</row>
    <row r="305" spans="1:23" s="4" customFormat="1">
      <c r="B305" s="4">
        <v>230</v>
      </c>
      <c r="C305" s="47">
        <v>5705275</v>
      </c>
      <c r="D305" s="4" t="s">
        <v>34</v>
      </c>
      <c r="E305" s="148">
        <v>7500</v>
      </c>
      <c r="F305" s="149">
        <v>7500</v>
      </c>
      <c r="G305" s="109">
        <v>11800</v>
      </c>
      <c r="H305" s="107">
        <f t="shared" si="23"/>
        <v>0.2711864406779661</v>
      </c>
      <c r="I305" s="79">
        <f t="shared" si="24"/>
        <v>3200</v>
      </c>
      <c r="J305" s="109">
        <v>15000</v>
      </c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</row>
    <row r="306" spans="1:23" s="4" customFormat="1">
      <c r="B306" s="4">
        <v>230</v>
      </c>
      <c r="C306" s="47">
        <v>5705433</v>
      </c>
      <c r="D306" s="4" t="s">
        <v>106</v>
      </c>
      <c r="E306" s="148">
        <v>13000</v>
      </c>
      <c r="F306" s="149">
        <v>14000</v>
      </c>
      <c r="G306" s="109">
        <v>18000</v>
      </c>
      <c r="H306" s="107">
        <f t="shared" si="23"/>
        <v>0.1111111111111111</v>
      </c>
      <c r="I306" s="79">
        <f t="shared" si="24"/>
        <v>2000</v>
      </c>
      <c r="J306" s="109">
        <v>20000</v>
      </c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</row>
    <row r="307" spans="1:23" s="4" customFormat="1">
      <c r="B307" s="4">
        <v>230</v>
      </c>
      <c r="C307" s="47"/>
      <c r="D307" s="4" t="s">
        <v>7</v>
      </c>
      <c r="E307" s="148">
        <v>0</v>
      </c>
      <c r="F307" s="149">
        <v>0</v>
      </c>
      <c r="G307" s="109">
        <v>0</v>
      </c>
      <c r="H307" s="107"/>
      <c r="I307" s="79">
        <f t="shared" si="24"/>
        <v>0</v>
      </c>
      <c r="J307" s="109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</row>
    <row r="308" spans="1:23" s="6" customFormat="1">
      <c r="A308" s="4"/>
      <c r="B308" s="4">
        <v>230</v>
      </c>
      <c r="C308" s="47">
        <v>5705731</v>
      </c>
      <c r="D308" s="4" t="s">
        <v>8</v>
      </c>
      <c r="E308" s="148">
        <v>1000</v>
      </c>
      <c r="F308" s="149">
        <v>1000</v>
      </c>
      <c r="G308" s="109">
        <v>1000</v>
      </c>
      <c r="H308" s="107">
        <f t="shared" si="23"/>
        <v>0</v>
      </c>
      <c r="I308" s="79">
        <f t="shared" si="24"/>
        <v>0</v>
      </c>
      <c r="J308" s="109">
        <v>1000</v>
      </c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</row>
    <row r="309" spans="1:23" s="4" customFormat="1">
      <c r="B309" s="4">
        <v>230</v>
      </c>
      <c r="C309" s="47">
        <v>5705855</v>
      </c>
      <c r="D309" s="4" t="s">
        <v>22</v>
      </c>
      <c r="E309" s="148">
        <v>6000</v>
      </c>
      <c r="F309" s="149">
        <v>2500</v>
      </c>
      <c r="G309" s="112">
        <f>4000+9500</f>
        <v>13500</v>
      </c>
      <c r="H309" s="107">
        <f t="shared" si="23"/>
        <v>-0.70370370370370372</v>
      </c>
      <c r="I309" s="79">
        <f t="shared" si="24"/>
        <v>-9500</v>
      </c>
      <c r="J309" s="112">
        <v>4000</v>
      </c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</row>
    <row r="310" spans="1:23" s="6" customFormat="1">
      <c r="A310" s="4"/>
      <c r="B310" s="4"/>
      <c r="C310" s="47"/>
      <c r="D310" s="4"/>
      <c r="E310" s="148"/>
      <c r="F310" s="149"/>
      <c r="G310" s="109"/>
      <c r="H310" s="107"/>
      <c r="I310" s="79">
        <f t="shared" si="24"/>
        <v>0</v>
      </c>
      <c r="J310" s="109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</row>
    <row r="311" spans="1:23" s="4" customFormat="1">
      <c r="A311" s="4" t="s">
        <v>343</v>
      </c>
      <c r="B311" s="6" t="s">
        <v>2</v>
      </c>
      <c r="C311" s="6" t="s">
        <v>107</v>
      </c>
      <c r="D311" s="6"/>
      <c r="E311" s="153">
        <f t="shared" ref="E311:F311" si="26">SUM(E289:E309)</f>
        <v>549716</v>
      </c>
      <c r="F311" s="154">
        <f t="shared" si="26"/>
        <v>578130</v>
      </c>
      <c r="G311" s="110">
        <f>SUM(G289:G310)</f>
        <v>620400</v>
      </c>
      <c r="H311" s="174">
        <f t="shared" si="23"/>
        <v>0.27341715022566088</v>
      </c>
      <c r="I311" s="175">
        <f t="shared" si="24"/>
        <v>169628</v>
      </c>
      <c r="J311" s="110">
        <f>SUM(J289:J310)</f>
        <v>790028</v>
      </c>
      <c r="K311" s="206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</row>
    <row r="312" spans="1:23" s="4" customFormat="1">
      <c r="C312" s="47"/>
      <c r="E312" s="148"/>
      <c r="F312" s="150"/>
      <c r="G312" s="87"/>
      <c r="H312" s="107"/>
      <c r="I312" s="79"/>
      <c r="J312" s="87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</row>
    <row r="313" spans="1:23" s="4" customFormat="1">
      <c r="B313" s="6">
        <v>241</v>
      </c>
      <c r="C313" s="46" t="s">
        <v>108</v>
      </c>
      <c r="D313" s="6"/>
      <c r="E313" s="151"/>
      <c r="F313" s="152"/>
      <c r="G313" s="110"/>
      <c r="H313" s="174"/>
      <c r="I313" s="175"/>
      <c r="J313" s="110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</row>
    <row r="314" spans="1:23" s="4" customFormat="1">
      <c r="B314" s="4">
        <v>241</v>
      </c>
      <c r="C314" s="47">
        <v>5105110</v>
      </c>
      <c r="D314" s="4" t="s">
        <v>469</v>
      </c>
      <c r="E314" s="148">
        <v>20800</v>
      </c>
      <c r="F314" s="149">
        <v>21320</v>
      </c>
      <c r="G314" s="109">
        <v>21320</v>
      </c>
      <c r="H314" s="107">
        <f t="shared" si="23"/>
        <v>0.14634146341463414</v>
      </c>
      <c r="I314" s="79">
        <f t="shared" si="24"/>
        <v>3120</v>
      </c>
      <c r="J314" s="109">
        <v>24440</v>
      </c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</row>
    <row r="315" spans="1:23" s="4" customFormat="1">
      <c r="B315" s="4">
        <v>241</v>
      </c>
      <c r="C315" s="47"/>
      <c r="D315" s="4" t="s">
        <v>109</v>
      </c>
      <c r="E315" s="148">
        <v>0</v>
      </c>
      <c r="F315" s="149">
        <v>0</v>
      </c>
      <c r="G315" s="109">
        <v>0</v>
      </c>
      <c r="H315" s="107"/>
      <c r="I315" s="79">
        <f t="shared" si="24"/>
        <v>0</v>
      </c>
      <c r="J315" s="109">
        <v>0</v>
      </c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</row>
    <row r="316" spans="1:23" s="4" customFormat="1">
      <c r="B316" s="4">
        <v>241</v>
      </c>
      <c r="C316" s="47">
        <v>5105110</v>
      </c>
      <c r="D316" s="4" t="s">
        <v>12</v>
      </c>
      <c r="E316" s="148">
        <v>21206</v>
      </c>
      <c r="F316" s="149">
        <v>22148</v>
      </c>
      <c r="G316" s="109">
        <v>19310</v>
      </c>
      <c r="H316" s="107">
        <f t="shared" si="23"/>
        <v>0.16002071465561885</v>
      </c>
      <c r="I316" s="79">
        <f t="shared" si="24"/>
        <v>3090</v>
      </c>
      <c r="J316" s="109">
        <v>22400</v>
      </c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</row>
    <row r="317" spans="1:23" s="4" customFormat="1">
      <c r="B317" s="4">
        <v>241</v>
      </c>
      <c r="C317" s="47"/>
      <c r="D317" s="4" t="s">
        <v>364</v>
      </c>
      <c r="E317" s="148">
        <v>0</v>
      </c>
      <c r="F317" s="149">
        <v>0</v>
      </c>
      <c r="G317" s="109"/>
      <c r="H317" s="107"/>
      <c r="I317" s="79">
        <f t="shared" si="24"/>
        <v>0</v>
      </c>
      <c r="J317" s="109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</row>
    <row r="318" spans="1:23" s="4" customFormat="1">
      <c r="B318" s="4">
        <v>241</v>
      </c>
      <c r="C318" s="47"/>
      <c r="D318" s="4" t="s">
        <v>110</v>
      </c>
      <c r="E318" s="148">
        <v>0</v>
      </c>
      <c r="F318" s="149">
        <v>0</v>
      </c>
      <c r="G318" s="109"/>
      <c r="H318" s="107"/>
      <c r="I318" s="79">
        <f t="shared" si="24"/>
        <v>0</v>
      </c>
      <c r="J318" s="109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</row>
    <row r="319" spans="1:23" s="4" customFormat="1">
      <c r="B319" s="4">
        <v>241</v>
      </c>
      <c r="C319" s="47"/>
      <c r="D319" s="4" t="s">
        <v>111</v>
      </c>
      <c r="E319" s="148">
        <v>0</v>
      </c>
      <c r="F319" s="149">
        <v>0</v>
      </c>
      <c r="G319" s="109"/>
      <c r="H319" s="107"/>
      <c r="I319" s="79">
        <f t="shared" si="24"/>
        <v>0</v>
      </c>
      <c r="J319" s="109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</row>
    <row r="320" spans="1:23" s="4" customFormat="1">
      <c r="B320" s="4">
        <v>241</v>
      </c>
      <c r="C320" s="47"/>
      <c r="D320" s="4" t="s">
        <v>112</v>
      </c>
      <c r="E320" s="148">
        <v>0</v>
      </c>
      <c r="F320" s="149">
        <v>0</v>
      </c>
      <c r="G320" s="109"/>
      <c r="H320" s="107"/>
      <c r="I320" s="79">
        <f t="shared" si="24"/>
        <v>0</v>
      </c>
      <c r="J320" s="109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</row>
    <row r="321" spans="1:23" s="4" customFormat="1">
      <c r="B321" s="4">
        <v>241</v>
      </c>
      <c r="C321" s="47">
        <v>5105110</v>
      </c>
      <c r="D321" s="4" t="s">
        <v>238</v>
      </c>
      <c r="E321" s="148">
        <v>1080</v>
      </c>
      <c r="F321" s="149">
        <v>1080</v>
      </c>
      <c r="G321" s="109">
        <v>1500</v>
      </c>
      <c r="H321" s="107">
        <f t="shared" si="23"/>
        <v>0</v>
      </c>
      <c r="I321" s="79">
        <f t="shared" si="24"/>
        <v>0</v>
      </c>
      <c r="J321" s="109">
        <v>1500</v>
      </c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</row>
    <row r="322" spans="1:23" s="4" customFormat="1">
      <c r="B322" s="4">
        <v>241</v>
      </c>
      <c r="C322" s="47">
        <v>5705700</v>
      </c>
      <c r="D322" s="4" t="s">
        <v>20</v>
      </c>
      <c r="E322" s="148">
        <v>800</v>
      </c>
      <c r="F322" s="149">
        <v>800</v>
      </c>
      <c r="G322" s="109">
        <v>800</v>
      </c>
      <c r="H322" s="107">
        <f t="shared" si="23"/>
        <v>0</v>
      </c>
      <c r="I322" s="79">
        <f t="shared" si="24"/>
        <v>0</v>
      </c>
      <c r="J322" s="109">
        <v>800</v>
      </c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</row>
    <row r="323" spans="1:23" s="4" customFormat="1">
      <c r="B323" s="4">
        <v>241</v>
      </c>
      <c r="C323" s="47">
        <v>5705700</v>
      </c>
      <c r="D323" s="4" t="s">
        <v>6</v>
      </c>
      <c r="E323" s="148">
        <v>780</v>
      </c>
      <c r="F323" s="149">
        <v>780</v>
      </c>
      <c r="G323" s="109">
        <v>780</v>
      </c>
      <c r="H323" s="107">
        <f t="shared" si="23"/>
        <v>5.128205128205128E-2</v>
      </c>
      <c r="I323" s="79">
        <f t="shared" si="24"/>
        <v>40</v>
      </c>
      <c r="J323" s="109">
        <v>820</v>
      </c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</row>
    <row r="324" spans="1:23" s="4" customFormat="1">
      <c r="B324" s="4">
        <v>241</v>
      </c>
      <c r="C324" s="47"/>
      <c r="D324" s="4" t="s">
        <v>105</v>
      </c>
      <c r="E324" s="148">
        <v>0</v>
      </c>
      <c r="F324" s="149">
        <v>0</v>
      </c>
      <c r="G324" s="109">
        <v>0</v>
      </c>
      <c r="H324" s="107"/>
      <c r="I324" s="79">
        <f t="shared" si="24"/>
        <v>0</v>
      </c>
      <c r="J324" s="109">
        <v>0</v>
      </c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</row>
    <row r="325" spans="1:23" s="4" customFormat="1">
      <c r="B325" s="4">
        <v>241</v>
      </c>
      <c r="C325" s="47">
        <v>5705700</v>
      </c>
      <c r="D325" s="4" t="s">
        <v>8</v>
      </c>
      <c r="E325" s="148">
        <v>170</v>
      </c>
      <c r="F325" s="149">
        <v>170</v>
      </c>
      <c r="G325" s="109">
        <v>170</v>
      </c>
      <c r="H325" s="107">
        <f t="shared" si="23"/>
        <v>0</v>
      </c>
      <c r="I325" s="79">
        <f t="shared" si="24"/>
        <v>0</v>
      </c>
      <c r="J325" s="109">
        <v>170</v>
      </c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</row>
    <row r="326" spans="1:23" s="6" customFormat="1">
      <c r="A326" s="4"/>
      <c r="B326" s="4">
        <v>241</v>
      </c>
      <c r="C326" s="47"/>
      <c r="D326" s="4" t="s">
        <v>429</v>
      </c>
      <c r="E326" s="148">
        <v>0</v>
      </c>
      <c r="F326" s="149">
        <v>0</v>
      </c>
      <c r="G326" s="109">
        <v>1000</v>
      </c>
      <c r="H326" s="107">
        <f t="shared" si="23"/>
        <v>0</v>
      </c>
      <c r="I326" s="79">
        <f t="shared" si="24"/>
        <v>0</v>
      </c>
      <c r="J326" s="109">
        <v>1000</v>
      </c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</row>
    <row r="327" spans="1:23" s="4" customFormat="1">
      <c r="C327" s="47"/>
      <c r="E327" s="148"/>
      <c r="F327" s="149"/>
      <c r="G327" s="109"/>
      <c r="H327" s="107"/>
      <c r="I327" s="79">
        <f t="shared" si="24"/>
        <v>0</v>
      </c>
      <c r="J327" s="109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</row>
    <row r="328" spans="1:23" s="6" customFormat="1">
      <c r="A328" s="4" t="s">
        <v>343</v>
      </c>
      <c r="B328" s="6" t="s">
        <v>2</v>
      </c>
      <c r="C328" s="46" t="s">
        <v>113</v>
      </c>
      <c r="E328" s="153">
        <f t="shared" ref="E328:F328" si="27">SUM(E314:E326)</f>
        <v>44836</v>
      </c>
      <c r="F328" s="154">
        <f t="shared" si="27"/>
        <v>46298</v>
      </c>
      <c r="G328" s="110">
        <f>SUM(G314:G327)</f>
        <v>44880</v>
      </c>
      <c r="H328" s="174">
        <f t="shared" si="23"/>
        <v>0.13926024955436719</v>
      </c>
      <c r="I328" s="175">
        <f t="shared" si="24"/>
        <v>6250</v>
      </c>
      <c r="J328" s="110">
        <f>SUM(J314:J327)</f>
        <v>51130</v>
      </c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</row>
    <row r="329" spans="1:23" s="4" customFormat="1">
      <c r="C329" s="47"/>
      <c r="E329" s="148"/>
      <c r="F329" s="150"/>
      <c r="G329" s="87"/>
      <c r="H329" s="107"/>
      <c r="I329" s="79"/>
      <c r="J329" s="87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</row>
    <row r="330" spans="1:23" s="4" customFormat="1">
      <c r="B330" s="6">
        <v>299</v>
      </c>
      <c r="C330" s="46" t="s">
        <v>266</v>
      </c>
      <c r="D330" s="6"/>
      <c r="E330" s="151"/>
      <c r="F330" s="152"/>
      <c r="G330" s="86"/>
      <c r="H330" s="174"/>
      <c r="I330" s="175"/>
      <c r="J330" s="86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</row>
    <row r="331" spans="1:23" s="4" customFormat="1">
      <c r="B331" s="4">
        <v>299</v>
      </c>
      <c r="C331" s="47">
        <v>5105110</v>
      </c>
      <c r="D331" s="4" t="s">
        <v>86</v>
      </c>
      <c r="E331" s="148">
        <v>215622</v>
      </c>
      <c r="F331" s="149">
        <v>272226</v>
      </c>
      <c r="G331" s="109">
        <v>282671</v>
      </c>
      <c r="H331" s="107">
        <f>(J331-G331)/G331</f>
        <v>0.10515404834595696</v>
      </c>
      <c r="I331" s="79">
        <f t="shared" si="24"/>
        <v>29724</v>
      </c>
      <c r="J331" s="112">
        <v>312395</v>
      </c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</row>
    <row r="332" spans="1:23" s="4" customFormat="1">
      <c r="B332" s="4">
        <v>299</v>
      </c>
      <c r="C332" s="47">
        <v>5105110</v>
      </c>
      <c r="D332" s="4" t="s">
        <v>267</v>
      </c>
      <c r="E332" s="148">
        <v>70075</v>
      </c>
      <c r="F332" s="149">
        <v>21652</v>
      </c>
      <c r="G332" s="87">
        <v>26736</v>
      </c>
      <c r="H332" s="107">
        <f t="shared" ref="H332:H348" si="28">(J332-G332)/G332</f>
        <v>0</v>
      </c>
      <c r="I332" s="79">
        <f t="shared" si="24"/>
        <v>0</v>
      </c>
      <c r="J332" s="111">
        <v>26736</v>
      </c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</row>
    <row r="333" spans="1:23" s="4" customFormat="1">
      <c r="B333" s="4">
        <v>299</v>
      </c>
      <c r="C333" s="47">
        <v>5105110</v>
      </c>
      <c r="D333" s="4" t="s">
        <v>14</v>
      </c>
      <c r="E333" s="148">
        <v>17862</v>
      </c>
      <c r="F333" s="149">
        <v>19648</v>
      </c>
      <c r="G333" s="87">
        <v>25575</v>
      </c>
      <c r="H333" s="107">
        <f t="shared" si="28"/>
        <v>3.1397849462365589E-2</v>
      </c>
      <c r="I333" s="79">
        <f t="shared" ref="I333:I348" si="29">J333-G333</f>
        <v>803</v>
      </c>
      <c r="J333" s="111">
        <v>26378</v>
      </c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</row>
    <row r="334" spans="1:23" s="4" customFormat="1">
      <c r="B334" s="4">
        <v>299</v>
      </c>
      <c r="C334" s="47">
        <v>5105110</v>
      </c>
      <c r="D334" s="4" t="s">
        <v>254</v>
      </c>
      <c r="E334" s="148">
        <v>9201</v>
      </c>
      <c r="F334" s="149">
        <v>11436</v>
      </c>
      <c r="G334" s="87">
        <v>11955</v>
      </c>
      <c r="H334" s="107">
        <f t="shared" si="28"/>
        <v>3.1367628607277293E-2</v>
      </c>
      <c r="I334" s="79">
        <f t="shared" si="29"/>
        <v>375</v>
      </c>
      <c r="J334" s="111">
        <v>12330</v>
      </c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</row>
    <row r="335" spans="1:23" s="75" customFormat="1">
      <c r="B335" s="4">
        <v>299</v>
      </c>
      <c r="C335" s="47">
        <v>5105110</v>
      </c>
      <c r="D335" s="4" t="s">
        <v>454</v>
      </c>
      <c r="H335" s="107"/>
      <c r="I335" s="79">
        <f t="shared" si="29"/>
        <v>0</v>
      </c>
      <c r="J335" s="111"/>
      <c r="K335" s="88"/>
      <c r="L335" s="164"/>
      <c r="M335" s="164"/>
      <c r="N335" s="164"/>
      <c r="O335" s="164"/>
      <c r="P335" s="164"/>
      <c r="Q335" s="164"/>
      <c r="R335" s="164"/>
      <c r="S335" s="164"/>
      <c r="T335" s="164"/>
      <c r="U335" s="164"/>
      <c r="V335" s="164"/>
      <c r="W335" s="164"/>
    </row>
    <row r="336" spans="1:23" s="75" customFormat="1">
      <c r="B336" s="4"/>
      <c r="C336" s="47"/>
      <c r="D336" s="4" t="s">
        <v>375</v>
      </c>
      <c r="E336" s="161">
        <v>2735</v>
      </c>
      <c r="F336" s="160">
        <v>2735</v>
      </c>
      <c r="G336" s="111">
        <v>2859</v>
      </c>
      <c r="H336" s="107">
        <f t="shared" si="28"/>
        <v>3.1479538300104928E-2</v>
      </c>
      <c r="I336" s="79">
        <f t="shared" si="29"/>
        <v>90</v>
      </c>
      <c r="J336" s="111">
        <v>2949</v>
      </c>
      <c r="K336" s="195"/>
      <c r="L336" s="164"/>
      <c r="M336" s="164"/>
      <c r="N336" s="164"/>
      <c r="O336" s="164"/>
      <c r="P336" s="164"/>
      <c r="Q336" s="164"/>
      <c r="R336" s="164"/>
      <c r="S336" s="164"/>
      <c r="T336" s="164"/>
      <c r="U336" s="164"/>
      <c r="V336" s="164"/>
      <c r="W336" s="164"/>
    </row>
    <row r="337" spans="1:23" s="4" customFormat="1">
      <c r="B337" s="4">
        <v>299</v>
      </c>
      <c r="C337" s="47">
        <v>5105110</v>
      </c>
      <c r="D337" s="4" t="s">
        <v>422</v>
      </c>
      <c r="E337" s="161"/>
      <c r="F337" s="160"/>
      <c r="G337" s="111">
        <v>960</v>
      </c>
      <c r="H337" s="107">
        <f t="shared" si="28"/>
        <v>3.125E-2</v>
      </c>
      <c r="I337" s="79">
        <f t="shared" si="29"/>
        <v>30</v>
      </c>
      <c r="J337" s="111">
        <v>990</v>
      </c>
      <c r="K337" s="195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</row>
    <row r="338" spans="1:23" s="4" customFormat="1">
      <c r="B338" s="4">
        <v>299</v>
      </c>
      <c r="C338" s="47">
        <v>5105110</v>
      </c>
      <c r="D338" s="4" t="s">
        <v>247</v>
      </c>
      <c r="E338" s="148">
        <v>3000</v>
      </c>
      <c r="F338" s="149">
        <v>4000</v>
      </c>
      <c r="G338" s="87">
        <v>4000</v>
      </c>
      <c r="H338" s="107">
        <f t="shared" si="28"/>
        <v>0</v>
      </c>
      <c r="I338" s="79">
        <f t="shared" si="29"/>
        <v>0</v>
      </c>
      <c r="J338" s="111">
        <v>4000</v>
      </c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</row>
    <row r="339" spans="1:23" s="4" customFormat="1">
      <c r="B339" s="4">
        <v>299</v>
      </c>
      <c r="C339" s="47">
        <v>5705166</v>
      </c>
      <c r="D339" s="4" t="s">
        <v>87</v>
      </c>
      <c r="E339" s="148">
        <v>3750</v>
      </c>
      <c r="F339" s="149">
        <v>3750</v>
      </c>
      <c r="G339" s="87">
        <v>3750</v>
      </c>
      <c r="H339" s="107">
        <f t="shared" si="28"/>
        <v>0</v>
      </c>
      <c r="I339" s="79">
        <f t="shared" si="29"/>
        <v>0</v>
      </c>
      <c r="J339" s="111">
        <v>3750</v>
      </c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</row>
    <row r="340" spans="1:23" s="4" customFormat="1">
      <c r="B340" s="4">
        <v>299</v>
      </c>
      <c r="C340" s="47">
        <v>5705166</v>
      </c>
      <c r="D340" s="4" t="s">
        <v>252</v>
      </c>
      <c r="E340" s="148">
        <v>750</v>
      </c>
      <c r="F340" s="149">
        <v>900</v>
      </c>
      <c r="G340" s="87">
        <v>900</v>
      </c>
      <c r="H340" s="107">
        <f t="shared" si="28"/>
        <v>0</v>
      </c>
      <c r="I340" s="79">
        <f t="shared" si="29"/>
        <v>0</v>
      </c>
      <c r="J340" s="111">
        <v>900</v>
      </c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</row>
    <row r="341" spans="1:23" s="4" customFormat="1">
      <c r="B341" s="4">
        <v>299</v>
      </c>
      <c r="C341" s="47">
        <v>5705700</v>
      </c>
      <c r="D341" s="4" t="s">
        <v>251</v>
      </c>
      <c r="E341" s="148">
        <v>1440</v>
      </c>
      <c r="F341" s="149">
        <v>1440</v>
      </c>
      <c r="G341" s="87">
        <v>1920</v>
      </c>
      <c r="H341" s="107">
        <f t="shared" si="28"/>
        <v>0</v>
      </c>
      <c r="I341" s="79">
        <f t="shared" si="29"/>
        <v>0</v>
      </c>
      <c r="J341" s="111">
        <v>1920</v>
      </c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</row>
    <row r="342" spans="1:23" s="4" customFormat="1">
      <c r="C342" s="47"/>
      <c r="D342" s="4" t="s">
        <v>20</v>
      </c>
      <c r="E342" s="148">
        <v>6000</v>
      </c>
      <c r="F342" s="149">
        <v>6000</v>
      </c>
      <c r="G342" s="87">
        <v>6000</v>
      </c>
      <c r="H342" s="107">
        <f t="shared" si="28"/>
        <v>-0.16666666666666666</v>
      </c>
      <c r="I342" s="79">
        <f t="shared" si="29"/>
        <v>-1000</v>
      </c>
      <c r="J342" s="112">
        <v>5000</v>
      </c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</row>
    <row r="343" spans="1:23" s="4" customFormat="1">
      <c r="B343" s="4">
        <v>299</v>
      </c>
      <c r="C343" s="47">
        <v>5705700</v>
      </c>
      <c r="D343" s="4" t="s">
        <v>423</v>
      </c>
      <c r="E343" s="148"/>
      <c r="F343" s="149"/>
      <c r="G343" s="87">
        <v>6800</v>
      </c>
      <c r="H343" s="107">
        <f t="shared" si="28"/>
        <v>-0.11764705882352941</v>
      </c>
      <c r="I343" s="79">
        <f t="shared" si="29"/>
        <v>-800</v>
      </c>
      <c r="J343" s="111">
        <v>6000</v>
      </c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</row>
    <row r="344" spans="1:23" s="4" customFormat="1">
      <c r="B344" s="4">
        <v>299</v>
      </c>
      <c r="C344" s="47">
        <v>5705700</v>
      </c>
      <c r="D344" s="4" t="s">
        <v>6</v>
      </c>
      <c r="E344" s="148">
        <v>1500</v>
      </c>
      <c r="F344" s="149">
        <v>2000</v>
      </c>
      <c r="G344" s="87">
        <v>2500</v>
      </c>
      <c r="H344" s="107">
        <f t="shared" si="28"/>
        <v>2.4E-2</v>
      </c>
      <c r="I344" s="79">
        <f t="shared" si="29"/>
        <v>60</v>
      </c>
      <c r="J344" s="111">
        <v>2560</v>
      </c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</row>
    <row r="345" spans="1:23" s="4" customFormat="1">
      <c r="B345" s="4">
        <v>299</v>
      </c>
      <c r="C345" s="47"/>
      <c r="D345" s="4" t="s">
        <v>253</v>
      </c>
      <c r="E345" s="148">
        <v>3225</v>
      </c>
      <c r="F345" s="149">
        <v>3225</v>
      </c>
      <c r="G345" s="87">
        <v>3225</v>
      </c>
      <c r="H345" s="107">
        <f t="shared" si="28"/>
        <v>-0.28651162790697676</v>
      </c>
      <c r="I345" s="79">
        <f t="shared" si="29"/>
        <v>-924</v>
      </c>
      <c r="J345" s="111">
        <v>2301</v>
      </c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</row>
    <row r="346" spans="1:23" s="6" customFormat="1">
      <c r="A346" s="4"/>
      <c r="B346" s="4">
        <v>299</v>
      </c>
      <c r="C346" s="47"/>
      <c r="D346" s="4" t="s">
        <v>8</v>
      </c>
      <c r="E346" s="148">
        <v>0</v>
      </c>
      <c r="F346" s="149">
        <v>0</v>
      </c>
      <c r="G346" s="87"/>
      <c r="H346" s="107"/>
      <c r="I346" s="79">
        <f t="shared" si="29"/>
        <v>0</v>
      </c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</row>
    <row r="347" spans="1:23" s="4" customFormat="1">
      <c r="C347" s="47"/>
      <c r="D347" s="4" t="s">
        <v>22</v>
      </c>
      <c r="E347" s="148"/>
      <c r="F347" s="149"/>
      <c r="G347" s="87"/>
      <c r="H347" s="107"/>
      <c r="I347" s="79">
        <f t="shared" si="29"/>
        <v>0</v>
      </c>
      <c r="J347" s="111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</row>
    <row r="348" spans="1:23" s="6" customFormat="1">
      <c r="A348" s="4" t="s">
        <v>343</v>
      </c>
      <c r="B348" s="6" t="s">
        <v>2</v>
      </c>
      <c r="C348" s="46" t="s">
        <v>266</v>
      </c>
      <c r="E348" s="153">
        <f>SUM(E331:E346)</f>
        <v>335160</v>
      </c>
      <c r="F348" s="154">
        <f>SUM(F331:F346)</f>
        <v>349012</v>
      </c>
      <c r="G348" s="110">
        <f>SUM(G331:G347)</f>
        <v>379851</v>
      </c>
      <c r="H348" s="174">
        <f t="shared" si="28"/>
        <v>7.4655588638703071E-2</v>
      </c>
      <c r="I348" s="175">
        <f t="shared" si="29"/>
        <v>28358</v>
      </c>
      <c r="J348" s="194">
        <f>SUM(J331:J347)</f>
        <v>408209</v>
      </c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</row>
    <row r="349" spans="1:23" s="4" customFormat="1">
      <c r="C349" s="47"/>
      <c r="E349" s="148"/>
      <c r="F349" s="150"/>
      <c r="G349" s="87"/>
      <c r="H349" s="107"/>
      <c r="I349" s="79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</row>
    <row r="350" spans="1:23" s="6" customFormat="1">
      <c r="A350" s="4"/>
      <c r="B350" s="6">
        <v>292</v>
      </c>
      <c r="C350" s="46" t="s">
        <v>114</v>
      </c>
      <c r="E350" s="151"/>
      <c r="F350" s="152"/>
      <c r="G350" s="86"/>
      <c r="H350" s="174"/>
      <c r="I350" s="175"/>
      <c r="J350" s="86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</row>
    <row r="351" spans="1:23" s="4" customFormat="1">
      <c r="B351" s="4">
        <v>292</v>
      </c>
      <c r="C351" s="47">
        <v>5105115</v>
      </c>
      <c r="D351" s="4" t="s">
        <v>102</v>
      </c>
      <c r="E351" s="148">
        <f>20000</f>
        <v>20000</v>
      </c>
      <c r="F351" s="149">
        <v>20000</v>
      </c>
      <c r="G351" s="109">
        <f>20000*1.03</f>
        <v>20600</v>
      </c>
      <c r="H351" s="107">
        <f t="shared" ref="H351:H394" si="30">(J351-G351)/G351</f>
        <v>0.02</v>
      </c>
      <c r="I351" s="79">
        <f t="shared" ref="I351:I396" si="31">J351-G351</f>
        <v>412</v>
      </c>
      <c r="J351" s="109">
        <f>G351*1.02</f>
        <v>21012</v>
      </c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</row>
    <row r="352" spans="1:23" s="6" customFormat="1">
      <c r="A352" s="4"/>
      <c r="B352" s="84">
        <v>292</v>
      </c>
      <c r="C352" s="47">
        <v>5105154</v>
      </c>
      <c r="D352" s="4" t="s">
        <v>383</v>
      </c>
      <c r="E352" s="148">
        <v>5700</v>
      </c>
      <c r="F352" s="149">
        <v>3900</v>
      </c>
      <c r="G352" s="109">
        <v>3900</v>
      </c>
      <c r="H352" s="107">
        <f t="shared" si="30"/>
        <v>0.02</v>
      </c>
      <c r="I352" s="79">
        <f t="shared" si="31"/>
        <v>78</v>
      </c>
      <c r="J352" s="109">
        <f t="shared" ref="J352:J358" si="32">G352*1.02</f>
        <v>3978</v>
      </c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</row>
    <row r="353" spans="1:23" s="4" customFormat="1">
      <c r="B353" s="4">
        <v>292</v>
      </c>
      <c r="C353" s="47">
        <v>5705700</v>
      </c>
      <c r="D353" s="4" t="s">
        <v>233</v>
      </c>
      <c r="E353" s="148">
        <v>200</v>
      </c>
      <c r="F353" s="149">
        <v>200</v>
      </c>
      <c r="G353" s="109">
        <v>300</v>
      </c>
      <c r="H353" s="107">
        <f t="shared" si="30"/>
        <v>0.02</v>
      </c>
      <c r="I353" s="79">
        <f t="shared" si="31"/>
        <v>6</v>
      </c>
      <c r="J353" s="109">
        <f t="shared" si="32"/>
        <v>306</v>
      </c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</row>
    <row r="354" spans="1:23" s="4" customFormat="1">
      <c r="B354" s="4">
        <v>292</v>
      </c>
      <c r="C354" s="47">
        <v>5705700</v>
      </c>
      <c r="D354" s="4" t="s">
        <v>18</v>
      </c>
      <c r="E354" s="148">
        <v>420</v>
      </c>
      <c r="F354" s="149">
        <v>420</v>
      </c>
      <c r="G354" s="109">
        <v>420</v>
      </c>
      <c r="H354" s="107">
        <f t="shared" si="30"/>
        <v>2.000000000000008E-2</v>
      </c>
      <c r="I354" s="79">
        <f t="shared" si="31"/>
        <v>8.4000000000000341</v>
      </c>
      <c r="J354" s="109">
        <f t="shared" si="32"/>
        <v>428.40000000000003</v>
      </c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</row>
    <row r="355" spans="1:23" s="4" customFormat="1">
      <c r="B355" s="4">
        <v>292</v>
      </c>
      <c r="C355" s="47">
        <v>5705700</v>
      </c>
      <c r="D355" s="4" t="s">
        <v>234</v>
      </c>
      <c r="E355" s="148">
        <v>500</v>
      </c>
      <c r="F355" s="149">
        <v>500</v>
      </c>
      <c r="G355" s="109">
        <v>500</v>
      </c>
      <c r="H355" s="107">
        <f t="shared" si="30"/>
        <v>0.02</v>
      </c>
      <c r="I355" s="79">
        <f t="shared" si="31"/>
        <v>10</v>
      </c>
      <c r="J355" s="109">
        <f t="shared" si="32"/>
        <v>510</v>
      </c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</row>
    <row r="356" spans="1:23" s="4" customFormat="1">
      <c r="B356" s="4">
        <v>292</v>
      </c>
      <c r="C356" s="47">
        <v>5705700</v>
      </c>
      <c r="D356" s="4" t="s">
        <v>20</v>
      </c>
      <c r="E356" s="148">
        <v>250</v>
      </c>
      <c r="F356" s="149">
        <v>250</v>
      </c>
      <c r="G356" s="109">
        <v>250</v>
      </c>
      <c r="H356" s="107">
        <f t="shared" si="30"/>
        <v>0.02</v>
      </c>
      <c r="I356" s="79">
        <f t="shared" si="31"/>
        <v>5</v>
      </c>
      <c r="J356" s="109">
        <f t="shared" si="32"/>
        <v>255</v>
      </c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</row>
    <row r="357" spans="1:23" s="6" customFormat="1">
      <c r="A357" s="4"/>
      <c r="B357" s="4">
        <v>292</v>
      </c>
      <c r="C357" s="47">
        <v>5705700</v>
      </c>
      <c r="D357" s="4" t="s">
        <v>115</v>
      </c>
      <c r="E357" s="148">
        <v>1000</v>
      </c>
      <c r="F357" s="149">
        <v>1000</v>
      </c>
      <c r="G357" s="109">
        <v>1000</v>
      </c>
      <c r="H357" s="107">
        <f t="shared" si="30"/>
        <v>0.02</v>
      </c>
      <c r="I357" s="79">
        <f t="shared" si="31"/>
        <v>20</v>
      </c>
      <c r="J357" s="109">
        <f t="shared" si="32"/>
        <v>1020</v>
      </c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</row>
    <row r="358" spans="1:23" s="4" customFormat="1">
      <c r="B358" s="4">
        <v>292</v>
      </c>
      <c r="C358" s="47">
        <v>5705700</v>
      </c>
      <c r="D358" s="4" t="s">
        <v>6</v>
      </c>
      <c r="E358" s="148">
        <v>200</v>
      </c>
      <c r="F358" s="149">
        <v>200</v>
      </c>
      <c r="G358" s="109">
        <v>200</v>
      </c>
      <c r="H358" s="107">
        <f t="shared" si="30"/>
        <v>0.02</v>
      </c>
      <c r="I358" s="79">
        <f t="shared" si="31"/>
        <v>4</v>
      </c>
      <c r="J358" s="109">
        <f t="shared" si="32"/>
        <v>204</v>
      </c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</row>
    <row r="359" spans="1:23" s="6" customFormat="1">
      <c r="A359" s="4"/>
      <c r="B359" s="4">
        <v>292</v>
      </c>
      <c r="C359" s="47"/>
      <c r="D359" s="4" t="s">
        <v>8</v>
      </c>
      <c r="E359" s="148">
        <v>0</v>
      </c>
      <c r="F359" s="149">
        <v>0</v>
      </c>
      <c r="G359" s="87"/>
      <c r="H359" s="107"/>
      <c r="I359" s="79">
        <f t="shared" si="31"/>
        <v>0</v>
      </c>
      <c r="J359" s="87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</row>
    <row r="360" spans="1:23" s="4" customFormat="1">
      <c r="B360" s="4">
        <v>292</v>
      </c>
      <c r="C360" s="47"/>
      <c r="D360" s="4" t="s">
        <v>22</v>
      </c>
      <c r="E360" s="148"/>
      <c r="F360" s="149">
        <v>0</v>
      </c>
      <c r="G360" s="87"/>
      <c r="H360" s="107"/>
      <c r="I360" s="79">
        <f t="shared" si="31"/>
        <v>0</v>
      </c>
      <c r="J360" s="87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</row>
    <row r="361" spans="1:23" s="4" customFormat="1">
      <c r="C361" s="47"/>
      <c r="E361" s="148"/>
      <c r="F361" s="149"/>
      <c r="G361" s="87"/>
      <c r="H361" s="107"/>
      <c r="I361" s="79">
        <f t="shared" si="31"/>
        <v>0</v>
      </c>
      <c r="J361" s="87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</row>
    <row r="362" spans="1:23" s="6" customFormat="1">
      <c r="A362" s="4" t="s">
        <v>343</v>
      </c>
      <c r="B362" s="6" t="s">
        <v>2</v>
      </c>
      <c r="C362" s="46" t="s">
        <v>114</v>
      </c>
      <c r="E362" s="153">
        <f>SUM(E351:E360)</f>
        <v>28270</v>
      </c>
      <c r="F362" s="154">
        <f>SUM(F351:F360)</f>
        <v>26470</v>
      </c>
      <c r="G362" s="86">
        <f>SUM(G351:G361)</f>
        <v>27170</v>
      </c>
      <c r="H362" s="174">
        <f t="shared" si="30"/>
        <v>2.0000000000000052E-2</v>
      </c>
      <c r="I362" s="175">
        <f t="shared" si="31"/>
        <v>543.40000000000146</v>
      </c>
      <c r="J362" s="86">
        <f>SUM(J351:J361)</f>
        <v>27713.4</v>
      </c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</row>
    <row r="363" spans="1:23" s="4" customFormat="1">
      <c r="B363" s="47"/>
      <c r="C363" s="47"/>
      <c r="E363" s="148"/>
      <c r="F363" s="150"/>
      <c r="G363" s="87"/>
      <c r="H363" s="107"/>
      <c r="I363" s="79"/>
      <c r="J363" s="87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</row>
    <row r="364" spans="1:23" s="6" customFormat="1">
      <c r="A364" s="4"/>
      <c r="B364" s="6">
        <v>294</v>
      </c>
      <c r="C364" s="46" t="s">
        <v>116</v>
      </c>
      <c r="E364" s="151"/>
      <c r="F364" s="152"/>
      <c r="G364" s="86"/>
      <c r="H364" s="174"/>
      <c r="I364" s="175"/>
      <c r="J364" s="86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</row>
    <row r="365" spans="1:23" s="4" customFormat="1">
      <c r="B365" s="4">
        <v>294</v>
      </c>
      <c r="C365" s="47">
        <v>5105111</v>
      </c>
      <c r="D365" s="4" t="s">
        <v>117</v>
      </c>
      <c r="E365" s="148">
        <v>3366</v>
      </c>
      <c r="F365" s="149">
        <v>3417</v>
      </c>
      <c r="G365" s="109">
        <f>3417*1.03</f>
        <v>3519.51</v>
      </c>
      <c r="H365" s="107">
        <f t="shared" si="30"/>
        <v>0.13652184537052026</v>
      </c>
      <c r="I365" s="79">
        <f t="shared" si="31"/>
        <v>480.48999999999978</v>
      </c>
      <c r="J365" s="191">
        <v>4000</v>
      </c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</row>
    <row r="366" spans="1:23" s="4" customFormat="1">
      <c r="B366" s="4">
        <v>294</v>
      </c>
      <c r="C366" s="47">
        <v>5705700</v>
      </c>
      <c r="D366" s="4" t="s">
        <v>118</v>
      </c>
      <c r="E366" s="148">
        <v>8250</v>
      </c>
      <c r="F366" s="149">
        <v>20000</v>
      </c>
      <c r="G366" s="87">
        <v>21000</v>
      </c>
      <c r="H366" s="107">
        <f t="shared" si="30"/>
        <v>0</v>
      </c>
      <c r="I366" s="79">
        <f t="shared" si="31"/>
        <v>0</v>
      </c>
      <c r="J366" s="191">
        <v>21000</v>
      </c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</row>
    <row r="367" spans="1:23" s="4" customFormat="1">
      <c r="B367" s="4">
        <v>294</v>
      </c>
      <c r="C367" s="47">
        <v>5705700</v>
      </c>
      <c r="D367" s="4" t="s">
        <v>119</v>
      </c>
      <c r="E367" s="148">
        <v>0</v>
      </c>
      <c r="F367" s="149">
        <v>0</v>
      </c>
      <c r="G367" s="87"/>
      <c r="H367" s="107"/>
      <c r="I367" s="79">
        <f t="shared" si="31"/>
        <v>0</v>
      </c>
      <c r="J367" s="191">
        <v>0</v>
      </c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</row>
    <row r="368" spans="1:23" s="4" customFormat="1">
      <c r="B368" s="4">
        <v>294</v>
      </c>
      <c r="C368" s="47">
        <v>5705700</v>
      </c>
      <c r="D368" s="4" t="s">
        <v>53</v>
      </c>
      <c r="E368" s="148">
        <v>0</v>
      </c>
      <c r="F368" s="149">
        <v>0</v>
      </c>
      <c r="G368" s="87"/>
      <c r="H368" s="107"/>
      <c r="I368" s="79">
        <f t="shared" si="31"/>
        <v>0</v>
      </c>
      <c r="J368" s="191">
        <v>0</v>
      </c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</row>
    <row r="369" spans="1:23" s="4" customFormat="1">
      <c r="C369" s="47"/>
      <c r="E369" s="148"/>
      <c r="F369" s="149"/>
      <c r="G369" s="87"/>
      <c r="H369" s="107"/>
      <c r="I369" s="79">
        <f t="shared" si="31"/>
        <v>0</v>
      </c>
      <c r="J369" s="191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</row>
    <row r="370" spans="1:23" s="4" customFormat="1">
      <c r="A370" s="4" t="s">
        <v>343</v>
      </c>
      <c r="B370" s="6" t="s">
        <v>2</v>
      </c>
      <c r="C370" s="46" t="s">
        <v>120</v>
      </c>
      <c r="D370" s="6"/>
      <c r="E370" s="153">
        <f t="shared" ref="E370:F370" si="33">SUM(E365:E368)</f>
        <v>11616</v>
      </c>
      <c r="F370" s="154">
        <f t="shared" si="33"/>
        <v>23417</v>
      </c>
      <c r="G370" s="86">
        <f>SUM(G365:G369)</f>
        <v>24519.510000000002</v>
      </c>
      <c r="H370" s="174">
        <f t="shared" si="30"/>
        <v>1.9596231735462818E-2</v>
      </c>
      <c r="I370" s="175">
        <f t="shared" si="31"/>
        <v>480.48999999999796</v>
      </c>
      <c r="J370" s="193">
        <f>SUM(J365:J369)</f>
        <v>25000</v>
      </c>
      <c r="K370" s="195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</row>
    <row r="371" spans="1:23" s="4" customFormat="1">
      <c r="C371" s="47"/>
      <c r="E371" s="148"/>
      <c r="F371" s="150"/>
      <c r="G371" s="87"/>
      <c r="H371" s="107"/>
      <c r="I371" s="79"/>
      <c r="J371" s="87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</row>
    <row r="372" spans="1:23" s="4" customFormat="1">
      <c r="B372" s="6"/>
      <c r="C372" s="46" t="s">
        <v>121</v>
      </c>
      <c r="D372" s="6"/>
      <c r="E372" s="151"/>
      <c r="F372" s="152"/>
      <c r="G372" s="86"/>
      <c r="H372" s="174"/>
      <c r="I372" s="175"/>
      <c r="J372" s="86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</row>
    <row r="373" spans="1:23" s="4" customFormat="1">
      <c r="B373" s="4">
        <v>940</v>
      </c>
      <c r="C373" s="47">
        <v>5205351</v>
      </c>
      <c r="D373" s="4" t="s">
        <v>225</v>
      </c>
      <c r="E373" s="148">
        <v>100000</v>
      </c>
      <c r="F373" s="149">
        <v>100000</v>
      </c>
      <c r="G373" s="109">
        <v>100000</v>
      </c>
      <c r="H373" s="107">
        <f t="shared" si="30"/>
        <v>0</v>
      </c>
      <c r="I373" s="79">
        <f t="shared" si="31"/>
        <v>0</v>
      </c>
      <c r="J373" s="109">
        <v>100000</v>
      </c>
      <c r="K373" s="190"/>
      <c r="L373" s="185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</row>
    <row r="374" spans="1:23" s="4" customFormat="1">
      <c r="B374" s="4">
        <v>830</v>
      </c>
      <c r="C374" s="47">
        <v>5605623</v>
      </c>
      <c r="D374" s="4" t="s">
        <v>309</v>
      </c>
      <c r="E374" s="148">
        <v>1231</v>
      </c>
      <c r="F374" s="149">
        <v>1231</v>
      </c>
      <c r="G374" s="87">
        <v>1399</v>
      </c>
      <c r="H374" s="107">
        <f t="shared" si="30"/>
        <v>0</v>
      </c>
      <c r="I374" s="79">
        <f t="shared" si="31"/>
        <v>0</v>
      </c>
      <c r="J374" s="87">
        <v>1399</v>
      </c>
      <c r="K374" s="88"/>
      <c r="L374" s="185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</row>
    <row r="375" spans="1:23" s="6" customFormat="1">
      <c r="A375" s="4"/>
      <c r="B375" s="4"/>
      <c r="C375" s="47"/>
      <c r="D375" s="4" t="s">
        <v>226</v>
      </c>
      <c r="E375" s="148">
        <v>0</v>
      </c>
      <c r="F375" s="149"/>
      <c r="G375" s="87"/>
      <c r="H375" s="107"/>
      <c r="I375" s="79">
        <f t="shared" si="31"/>
        <v>0</v>
      </c>
      <c r="J375" s="87"/>
      <c r="K375" s="88"/>
      <c r="L375" s="185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</row>
    <row r="376" spans="1:23" s="4" customFormat="1">
      <c r="C376" s="47"/>
      <c r="D376" s="4" t="s">
        <v>470</v>
      </c>
      <c r="E376" s="148">
        <v>0</v>
      </c>
      <c r="F376" s="149"/>
      <c r="G376" s="87"/>
      <c r="H376" s="107"/>
      <c r="I376" s="79">
        <f t="shared" si="31"/>
        <v>1000</v>
      </c>
      <c r="J376" s="87">
        <v>1000</v>
      </c>
      <c r="K376" s="88"/>
      <c r="L376" s="185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</row>
    <row r="377" spans="1:23" s="4" customFormat="1">
      <c r="C377" s="47"/>
      <c r="D377" s="4" t="s">
        <v>390</v>
      </c>
      <c r="E377" s="148">
        <v>60000</v>
      </c>
      <c r="F377" s="149">
        <v>3000</v>
      </c>
      <c r="G377" s="87">
        <v>3000</v>
      </c>
      <c r="H377" s="107">
        <f t="shared" si="30"/>
        <v>0</v>
      </c>
      <c r="I377" s="79">
        <f t="shared" si="31"/>
        <v>0</v>
      </c>
      <c r="J377" s="87">
        <v>3000</v>
      </c>
      <c r="K377" s="88"/>
      <c r="L377" s="185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</row>
    <row r="378" spans="1:23" s="4" customFormat="1">
      <c r="B378" s="4">
        <v>940</v>
      </c>
      <c r="C378" s="47">
        <v>5105110</v>
      </c>
      <c r="D378" s="4" t="s">
        <v>384</v>
      </c>
      <c r="E378" s="148">
        <v>30000</v>
      </c>
      <c r="F378" s="149">
        <v>30000</v>
      </c>
      <c r="G378" s="109">
        <v>20000</v>
      </c>
      <c r="H378" s="107">
        <f t="shared" si="30"/>
        <v>0</v>
      </c>
      <c r="I378" s="79">
        <f t="shared" si="31"/>
        <v>0</v>
      </c>
      <c r="J378" s="109">
        <v>20000</v>
      </c>
      <c r="K378" s="88"/>
      <c r="L378" s="185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</row>
    <row r="379" spans="1:23" s="6" customFormat="1">
      <c r="A379" s="4" t="s">
        <v>342</v>
      </c>
      <c r="B379" s="6" t="s">
        <v>2</v>
      </c>
      <c r="C379" s="46" t="s">
        <v>122</v>
      </c>
      <c r="E379" s="153">
        <f>SUM(E373:E378)</f>
        <v>191231</v>
      </c>
      <c r="F379" s="154">
        <f>SUM(F373:F378)</f>
        <v>134231</v>
      </c>
      <c r="G379" s="110">
        <f>SUM(G373:G378)</f>
        <v>124399</v>
      </c>
      <c r="H379" s="174">
        <f t="shared" si="30"/>
        <v>8.0386498283748255E-3</v>
      </c>
      <c r="I379" s="175">
        <f t="shared" si="31"/>
        <v>1000</v>
      </c>
      <c r="J379" s="110">
        <f>SUM(J373:J378)</f>
        <v>125399</v>
      </c>
      <c r="K379" s="88"/>
      <c r="L379" s="185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</row>
    <row r="380" spans="1:23" s="4" customFormat="1">
      <c r="C380" s="47"/>
      <c r="E380" s="148"/>
      <c r="F380" s="150"/>
      <c r="G380" s="87"/>
      <c r="H380" s="107"/>
      <c r="I380" s="79"/>
      <c r="J380" s="87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</row>
    <row r="381" spans="1:23" s="4" customFormat="1">
      <c r="B381" s="6"/>
      <c r="C381" s="46" t="s">
        <v>123</v>
      </c>
      <c r="D381" s="6"/>
      <c r="E381" s="151"/>
      <c r="F381" s="152"/>
      <c r="G381" s="86"/>
      <c r="H381" s="174"/>
      <c r="I381" s="175"/>
      <c r="J381" s="86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</row>
    <row r="382" spans="1:23" s="4" customFormat="1">
      <c r="B382" s="5">
        <v>300</v>
      </c>
      <c r="C382" s="47">
        <v>5715700</v>
      </c>
      <c r="D382" s="4" t="s">
        <v>387</v>
      </c>
      <c r="E382" s="148">
        <v>8043952</v>
      </c>
      <c r="F382" s="149">
        <v>8261472</v>
      </c>
      <c r="G382" s="109">
        <f>8464018</f>
        <v>8464018</v>
      </c>
      <c r="H382" s="107">
        <f t="shared" si="30"/>
        <v>2.9726543587218268E-2</v>
      </c>
      <c r="I382" s="79">
        <f>(J382-G382)</f>
        <v>251606</v>
      </c>
      <c r="J382" s="109">
        <f>8685618-6000+6006+30000</f>
        <v>8715624</v>
      </c>
      <c r="K382" s="146"/>
      <c r="L382" s="206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</row>
    <row r="383" spans="1:23" s="4" customFormat="1">
      <c r="B383" s="4">
        <v>300</v>
      </c>
      <c r="C383" s="47">
        <v>5715111</v>
      </c>
      <c r="D383" s="4" t="s">
        <v>307</v>
      </c>
      <c r="E383" s="148">
        <v>924</v>
      </c>
      <c r="F383" s="149">
        <v>938</v>
      </c>
      <c r="G383" s="109">
        <v>1200</v>
      </c>
      <c r="H383" s="107">
        <f t="shared" si="30"/>
        <v>0</v>
      </c>
      <c r="I383" s="79">
        <f t="shared" si="31"/>
        <v>0</v>
      </c>
      <c r="J383" s="109">
        <v>1200</v>
      </c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</row>
    <row r="384" spans="1:23" s="4" customFormat="1">
      <c r="B384" s="4">
        <v>300</v>
      </c>
      <c r="C384" s="47" t="s">
        <v>374</v>
      </c>
      <c r="D384" s="4" t="s">
        <v>395</v>
      </c>
      <c r="E384" s="148">
        <v>163000</v>
      </c>
      <c r="F384" s="149">
        <v>152000</v>
      </c>
      <c r="G384" s="109">
        <v>177388</v>
      </c>
      <c r="H384" s="107">
        <f t="shared" si="30"/>
        <v>0.83388955284461186</v>
      </c>
      <c r="I384" s="79">
        <f t="shared" si="31"/>
        <v>147922</v>
      </c>
      <c r="J384" s="109">
        <v>325310</v>
      </c>
      <c r="K384" s="62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</row>
    <row r="385" spans="1:23" s="4" customFormat="1">
      <c r="B385" s="4">
        <v>300</v>
      </c>
      <c r="C385" s="47">
        <v>5715200</v>
      </c>
      <c r="D385" s="4" t="s">
        <v>335</v>
      </c>
      <c r="E385" s="148">
        <v>918685</v>
      </c>
      <c r="F385" s="149">
        <v>918685</v>
      </c>
      <c r="G385" s="109">
        <v>967340</v>
      </c>
      <c r="H385" s="107">
        <f t="shared" si="30"/>
        <v>7.2100000000000039E-2</v>
      </c>
      <c r="I385" s="79">
        <f t="shared" si="31"/>
        <v>69745.214000000036</v>
      </c>
      <c r="J385" s="133">
        <f>967340*1.0721</f>
        <v>1037085.214</v>
      </c>
      <c r="K385" s="179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</row>
    <row r="386" spans="1:23" s="4" customFormat="1">
      <c r="B386" s="4">
        <v>300</v>
      </c>
      <c r="C386" s="47">
        <v>5715745</v>
      </c>
      <c r="D386" s="4" t="s">
        <v>180</v>
      </c>
      <c r="E386" s="148">
        <v>530413</v>
      </c>
      <c r="F386" s="149">
        <v>599956</v>
      </c>
      <c r="G386" s="109">
        <v>617680</v>
      </c>
      <c r="H386" s="107">
        <f>(J386-G386)/G386</f>
        <v>3.01839140007771E-2</v>
      </c>
      <c r="I386" s="79">
        <f>J386-G386</f>
        <v>18644</v>
      </c>
      <c r="J386" s="132">
        <f>452300+125524+35000+2500+10000+3500+7500</f>
        <v>636324</v>
      </c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</row>
    <row r="387" spans="1:23" s="4" customFormat="1">
      <c r="B387" s="4">
        <v>300</v>
      </c>
      <c r="C387" s="131">
        <v>5715740</v>
      </c>
      <c r="D387" s="4" t="s">
        <v>336</v>
      </c>
      <c r="E387" s="148">
        <v>52463</v>
      </c>
      <c r="F387" s="149">
        <v>54300</v>
      </c>
      <c r="G387" s="109">
        <v>47307</v>
      </c>
      <c r="H387" s="107">
        <f t="shared" si="30"/>
        <v>0</v>
      </c>
      <c r="I387" s="79">
        <f t="shared" si="31"/>
        <v>0</v>
      </c>
      <c r="J387" s="109">
        <v>47307</v>
      </c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</row>
    <row r="388" spans="1:23" s="4" customFormat="1">
      <c r="B388" s="4">
        <v>300</v>
      </c>
      <c r="C388" s="131">
        <v>5715740</v>
      </c>
      <c r="D388" s="4" t="s">
        <v>337</v>
      </c>
      <c r="E388" s="148">
        <v>69071</v>
      </c>
      <c r="F388" s="149">
        <v>71500</v>
      </c>
      <c r="G388" s="109">
        <v>82732</v>
      </c>
      <c r="H388" s="107">
        <f t="shared" si="30"/>
        <v>0</v>
      </c>
      <c r="I388" s="79">
        <f t="shared" si="31"/>
        <v>0</v>
      </c>
      <c r="J388" s="109">
        <v>82732</v>
      </c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</row>
    <row r="389" spans="1:23" s="4" customFormat="1">
      <c r="B389" s="4">
        <v>300</v>
      </c>
      <c r="C389" s="47">
        <v>5605600</v>
      </c>
      <c r="D389" s="4" t="s">
        <v>305</v>
      </c>
      <c r="E389" s="148">
        <v>2552594</v>
      </c>
      <c r="F389" s="155">
        <v>2694331</v>
      </c>
      <c r="G389" s="109">
        <f>3026221-246504</f>
        <v>2779717</v>
      </c>
      <c r="H389" s="107">
        <f t="shared" si="30"/>
        <v>-1.1569163335692087E-2</v>
      </c>
      <c r="I389" s="79">
        <f t="shared" si="31"/>
        <v>-32159</v>
      </c>
      <c r="J389" s="109">
        <f>2826598-J392</f>
        <v>2747558</v>
      </c>
      <c r="K389" s="88"/>
      <c r="L389" s="62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</row>
    <row r="390" spans="1:23" s="4" customFormat="1">
      <c r="B390" s="4">
        <v>301</v>
      </c>
      <c r="C390" s="47">
        <v>5605600</v>
      </c>
      <c r="D390" s="4" t="s">
        <v>333</v>
      </c>
      <c r="E390" s="148">
        <v>991871</v>
      </c>
      <c r="F390" s="149">
        <v>969035</v>
      </c>
      <c r="G390" s="109">
        <v>1064232</v>
      </c>
      <c r="H390" s="107">
        <f t="shared" si="30"/>
        <v>0.25179472145171355</v>
      </c>
      <c r="I390" s="79">
        <f t="shared" si="31"/>
        <v>267968</v>
      </c>
      <c r="J390" s="109">
        <f>1272986+59214</f>
        <v>1332200</v>
      </c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</row>
    <row r="391" spans="1:23" s="4" customFormat="1">
      <c r="B391" s="4">
        <v>308</v>
      </c>
      <c r="C391" s="47">
        <v>5605600</v>
      </c>
      <c r="D391" s="4" t="s">
        <v>306</v>
      </c>
      <c r="E391" s="148">
        <v>72451</v>
      </c>
      <c r="F391" s="149">
        <v>137950</v>
      </c>
      <c r="G391" s="109">
        <v>153547</v>
      </c>
      <c r="H391" s="107">
        <f t="shared" si="30"/>
        <v>-8.8531589676125289E-2</v>
      </c>
      <c r="I391" s="79">
        <f t="shared" si="31"/>
        <v>-13593.760000000009</v>
      </c>
      <c r="J391" s="109">
        <f>56238+83715.24</f>
        <v>139953.24</v>
      </c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</row>
    <row r="392" spans="1:23" s="4" customFormat="1">
      <c r="B392" s="4">
        <v>309</v>
      </c>
      <c r="C392" s="47" t="s">
        <v>374</v>
      </c>
      <c r="D392" s="4" t="s">
        <v>388</v>
      </c>
      <c r="E392" s="148">
        <v>145333</v>
      </c>
      <c r="F392" s="155">
        <v>110582</v>
      </c>
      <c r="G392" s="112">
        <v>246504</v>
      </c>
      <c r="H392" s="107">
        <f t="shared" si="30"/>
        <v>-0.67935611592509659</v>
      </c>
      <c r="I392" s="79">
        <f t="shared" si="31"/>
        <v>-167464</v>
      </c>
      <c r="J392" s="112">
        <v>79040</v>
      </c>
      <c r="K392" s="130"/>
      <c r="L392" s="146"/>
      <c r="M392" s="88"/>
      <c r="N392" s="146"/>
      <c r="O392" s="88"/>
      <c r="P392" s="88"/>
      <c r="Q392" s="88"/>
      <c r="R392" s="88"/>
      <c r="S392" s="88"/>
      <c r="T392" s="88"/>
      <c r="U392" s="88"/>
      <c r="V392" s="88"/>
      <c r="W392" s="88"/>
    </row>
    <row r="393" spans="1:23" s="4" customFormat="1">
      <c r="C393" s="47"/>
      <c r="D393" s="4" t="s">
        <v>427</v>
      </c>
      <c r="E393" s="161">
        <v>500000</v>
      </c>
      <c r="F393" s="150"/>
      <c r="G393" s="87"/>
      <c r="H393" s="107"/>
      <c r="I393" s="79">
        <f t="shared" si="31"/>
        <v>0</v>
      </c>
      <c r="J393" s="87"/>
      <c r="K393" s="189"/>
      <c r="L393" s="204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</row>
    <row r="394" spans="1:23" s="4" customFormat="1">
      <c r="A394" s="4" t="s">
        <v>346</v>
      </c>
      <c r="B394" s="6" t="s">
        <v>2</v>
      </c>
      <c r="C394" s="46" t="s">
        <v>124</v>
      </c>
      <c r="D394" s="6"/>
      <c r="E394" s="153">
        <f>SUM(E382:E393)</f>
        <v>14040757</v>
      </c>
      <c r="F394" s="154">
        <f>SUM(F382:F392)</f>
        <v>13970749</v>
      </c>
      <c r="G394" s="86">
        <f>SUM(G382:G393)</f>
        <v>14601665</v>
      </c>
      <c r="H394" s="174">
        <f t="shared" si="30"/>
        <v>3.7164833873397307E-2</v>
      </c>
      <c r="I394" s="175">
        <f t="shared" si="31"/>
        <v>542668.45399999991</v>
      </c>
      <c r="J394" s="86">
        <f>SUM(J382:J393)</f>
        <v>15144333.454</v>
      </c>
      <c r="K394" s="146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</row>
    <row r="395" spans="1:23" s="4" customFormat="1">
      <c r="C395" s="47"/>
      <c r="E395" s="148"/>
      <c r="F395" s="150"/>
      <c r="G395" s="87"/>
      <c r="H395" s="107"/>
      <c r="I395" s="79"/>
      <c r="J395" s="87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</row>
    <row r="396" spans="1:23" s="4" customFormat="1">
      <c r="B396" s="6">
        <v>420</v>
      </c>
      <c r="C396" s="46" t="s">
        <v>191</v>
      </c>
      <c r="D396" s="6"/>
      <c r="E396" s="151"/>
      <c r="F396" s="152"/>
      <c r="G396" s="86"/>
      <c r="H396" s="174"/>
      <c r="I396" s="175">
        <f t="shared" si="31"/>
        <v>0</v>
      </c>
      <c r="J396" s="86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</row>
    <row r="397" spans="1:23" s="4" customFormat="1">
      <c r="B397" s="4">
        <v>420</v>
      </c>
      <c r="C397" s="47">
        <v>5105111</v>
      </c>
      <c r="D397" s="4" t="s">
        <v>102</v>
      </c>
      <c r="E397" s="148">
        <v>67213</v>
      </c>
      <c r="F397" s="149">
        <v>68221</v>
      </c>
      <c r="G397" s="109">
        <f>68221+2500</f>
        <v>70721</v>
      </c>
      <c r="H397" s="107">
        <f t="shared" ref="H397:H460" si="34">(J397-G397)/G397</f>
        <v>0.14534579544972498</v>
      </c>
      <c r="I397" s="79">
        <f t="shared" ref="I397:I460" si="35">J397-G397</f>
        <v>10279</v>
      </c>
      <c r="J397" s="191">
        <v>81000</v>
      </c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</row>
    <row r="398" spans="1:23" s="4" customFormat="1">
      <c r="B398" s="4">
        <v>420</v>
      </c>
      <c r="C398" s="47"/>
      <c r="D398" s="4" t="s">
        <v>38</v>
      </c>
      <c r="E398" s="148">
        <v>9000</v>
      </c>
      <c r="F398" s="155">
        <v>9000</v>
      </c>
      <c r="G398" s="109">
        <v>9000</v>
      </c>
      <c r="H398" s="107">
        <f t="shared" si="34"/>
        <v>-0.55555555555555558</v>
      </c>
      <c r="I398" s="79">
        <f t="shared" si="35"/>
        <v>-5000</v>
      </c>
      <c r="J398" s="191">
        <v>4000</v>
      </c>
      <c r="K398" s="195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</row>
    <row r="399" spans="1:23" s="4" customFormat="1">
      <c r="B399" s="4">
        <v>420</v>
      </c>
      <c r="C399" s="47">
        <v>5105110</v>
      </c>
      <c r="D399" s="4" t="s">
        <v>86</v>
      </c>
      <c r="E399" s="148">
        <v>456178</v>
      </c>
      <c r="F399" s="155">
        <v>373546</v>
      </c>
      <c r="G399" s="132">
        <v>513132</v>
      </c>
      <c r="H399" s="107">
        <f t="shared" si="34"/>
        <v>9.1337121832199122E-2</v>
      </c>
      <c r="I399" s="79">
        <f t="shared" si="35"/>
        <v>46868</v>
      </c>
      <c r="J399" s="191">
        <v>560000</v>
      </c>
      <c r="K399" s="195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</row>
    <row r="400" spans="1:23" s="4" customFormat="1">
      <c r="B400" s="4">
        <v>420</v>
      </c>
      <c r="C400" s="47"/>
      <c r="D400" s="4" t="s">
        <v>125</v>
      </c>
      <c r="E400" s="148">
        <v>0</v>
      </c>
      <c r="F400" s="155">
        <v>68537</v>
      </c>
      <c r="G400" s="109"/>
      <c r="H400" s="107"/>
      <c r="I400" s="79">
        <f t="shared" si="35"/>
        <v>0</v>
      </c>
      <c r="J400" s="191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</row>
    <row r="401" spans="1:23" s="4" customFormat="1">
      <c r="B401" s="4">
        <v>420</v>
      </c>
      <c r="C401" s="47"/>
      <c r="D401" s="4" t="s">
        <v>12</v>
      </c>
      <c r="E401" s="148">
        <v>0</v>
      </c>
      <c r="F401" s="149">
        <v>0</v>
      </c>
      <c r="G401" s="109"/>
      <c r="H401" s="107"/>
      <c r="I401" s="79">
        <f t="shared" si="35"/>
        <v>0</v>
      </c>
      <c r="J401" s="191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</row>
    <row r="402" spans="1:23" s="4" customFormat="1">
      <c r="B402" s="4">
        <v>420</v>
      </c>
      <c r="C402" s="47"/>
      <c r="D402" s="4" t="s">
        <v>402</v>
      </c>
      <c r="E402" s="148">
        <v>0</v>
      </c>
      <c r="F402" s="155">
        <v>26641</v>
      </c>
      <c r="G402" s="109"/>
      <c r="H402" s="107"/>
      <c r="I402" s="79">
        <f t="shared" si="35"/>
        <v>0</v>
      </c>
      <c r="J402" s="191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</row>
    <row r="403" spans="1:23" s="4" customFormat="1">
      <c r="B403" s="4">
        <v>420</v>
      </c>
      <c r="C403" s="47"/>
      <c r="D403" s="4" t="s">
        <v>13</v>
      </c>
      <c r="E403" s="148">
        <v>0</v>
      </c>
      <c r="F403" s="155">
        <v>16000</v>
      </c>
      <c r="G403" s="109"/>
      <c r="H403" s="107"/>
      <c r="I403" s="79">
        <f t="shared" si="35"/>
        <v>0</v>
      </c>
      <c r="J403" s="191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</row>
    <row r="404" spans="1:23" s="4" customFormat="1">
      <c r="B404" s="4">
        <v>420</v>
      </c>
      <c r="C404" s="47"/>
      <c r="D404" s="4" t="s">
        <v>14</v>
      </c>
      <c r="E404" s="148">
        <v>0</v>
      </c>
      <c r="F404" s="155">
        <v>10000</v>
      </c>
      <c r="G404" s="109"/>
      <c r="H404" s="107"/>
      <c r="I404" s="79">
        <f t="shared" si="35"/>
        <v>0</v>
      </c>
      <c r="J404" s="191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</row>
    <row r="405" spans="1:23" s="4" customFormat="1">
      <c r="B405" s="4">
        <v>420</v>
      </c>
      <c r="C405" s="47">
        <v>5705156</v>
      </c>
      <c r="D405" s="4" t="s">
        <v>421</v>
      </c>
      <c r="E405" s="148">
        <v>21115</v>
      </c>
      <c r="F405" s="149">
        <v>21355</v>
      </c>
      <c r="G405" s="109">
        <v>22000</v>
      </c>
      <c r="H405" s="107">
        <f t="shared" si="34"/>
        <v>3.6363636363636362E-2</v>
      </c>
      <c r="I405" s="79">
        <f t="shared" si="35"/>
        <v>800</v>
      </c>
      <c r="J405" s="191">
        <v>22800</v>
      </c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</row>
    <row r="406" spans="1:23" s="4" customFormat="1">
      <c r="B406" s="4">
        <v>420</v>
      </c>
      <c r="C406" s="47"/>
      <c r="D406" s="4" t="s">
        <v>87</v>
      </c>
      <c r="E406" s="148">
        <v>0</v>
      </c>
      <c r="F406" s="149">
        <v>0</v>
      </c>
      <c r="G406" s="109"/>
      <c r="H406" s="107"/>
      <c r="I406" s="79">
        <f t="shared" si="35"/>
        <v>0</v>
      </c>
      <c r="J406" s="191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</row>
    <row r="407" spans="1:23" s="4" customFormat="1">
      <c r="B407" s="4">
        <v>420</v>
      </c>
      <c r="C407" s="47"/>
      <c r="D407" s="4" t="s">
        <v>62</v>
      </c>
      <c r="E407" s="148">
        <v>0</v>
      </c>
      <c r="F407" s="149">
        <v>0</v>
      </c>
      <c r="G407" s="109"/>
      <c r="H407" s="107"/>
      <c r="I407" s="79">
        <f t="shared" si="35"/>
        <v>0</v>
      </c>
      <c r="J407" s="191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</row>
    <row r="408" spans="1:23" s="4" customFormat="1">
      <c r="B408" s="4">
        <v>420</v>
      </c>
      <c r="C408" s="47">
        <v>5705244</v>
      </c>
      <c r="D408" s="4" t="s">
        <v>63</v>
      </c>
      <c r="E408" s="148">
        <v>29500</v>
      </c>
      <c r="F408" s="149">
        <v>30000</v>
      </c>
      <c r="G408" s="109">
        <v>30500</v>
      </c>
      <c r="H408" s="107">
        <f t="shared" si="34"/>
        <v>4.9180327868852458E-2</v>
      </c>
      <c r="I408" s="79">
        <f t="shared" si="35"/>
        <v>1500</v>
      </c>
      <c r="J408" s="191">
        <v>32000</v>
      </c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</row>
    <row r="409" spans="1:23" s="4" customFormat="1">
      <c r="B409" s="4">
        <v>420</v>
      </c>
      <c r="C409" s="47">
        <v>5705242</v>
      </c>
      <c r="D409" s="4" t="s">
        <v>96</v>
      </c>
      <c r="E409" s="148">
        <v>60000</v>
      </c>
      <c r="F409" s="149">
        <v>60000</v>
      </c>
      <c r="G409" s="109">
        <v>61800</v>
      </c>
      <c r="H409" s="107">
        <f t="shared" si="34"/>
        <v>0</v>
      </c>
      <c r="I409" s="79">
        <f t="shared" si="35"/>
        <v>0</v>
      </c>
      <c r="J409" s="191">
        <v>61800</v>
      </c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</row>
    <row r="410" spans="1:23" s="4" customFormat="1">
      <c r="B410" s="4">
        <v>420</v>
      </c>
      <c r="C410" s="47">
        <v>5705242</v>
      </c>
      <c r="D410" s="4" t="s">
        <v>97</v>
      </c>
      <c r="E410" s="148">
        <v>0</v>
      </c>
      <c r="F410" s="149">
        <v>0</v>
      </c>
      <c r="G410" s="109"/>
      <c r="H410" s="107"/>
      <c r="I410" s="79">
        <f t="shared" si="35"/>
        <v>0</v>
      </c>
      <c r="J410" s="191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</row>
    <row r="411" spans="1:23" s="4" customFormat="1">
      <c r="B411" s="4">
        <v>420</v>
      </c>
      <c r="C411" s="47">
        <v>5705531</v>
      </c>
      <c r="D411" s="4" t="s">
        <v>126</v>
      </c>
      <c r="E411" s="148">
        <v>0</v>
      </c>
      <c r="F411" s="149">
        <v>0</v>
      </c>
      <c r="G411" s="109"/>
      <c r="H411" s="107"/>
      <c r="I411" s="79">
        <f t="shared" si="35"/>
        <v>0</v>
      </c>
      <c r="J411" s="191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</row>
    <row r="412" spans="1:23" s="4" customFormat="1">
      <c r="B412" s="4">
        <v>420</v>
      </c>
      <c r="C412" s="47">
        <v>5705248</v>
      </c>
      <c r="D412" s="4" t="s">
        <v>322</v>
      </c>
      <c r="E412" s="148">
        <v>69680</v>
      </c>
      <c r="F412" s="149">
        <v>75000</v>
      </c>
      <c r="G412" s="109">
        <v>78750</v>
      </c>
      <c r="H412" s="107">
        <f t="shared" si="34"/>
        <v>1.5873015873015872E-2</v>
      </c>
      <c r="I412" s="79">
        <f t="shared" si="35"/>
        <v>1250</v>
      </c>
      <c r="J412" s="191">
        <v>80000</v>
      </c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</row>
    <row r="413" spans="1:23" s="6" customFormat="1">
      <c r="A413" s="4"/>
      <c r="B413" s="4">
        <v>420</v>
      </c>
      <c r="C413" s="47">
        <v>5705244</v>
      </c>
      <c r="D413" s="4" t="s">
        <v>127</v>
      </c>
      <c r="E413" s="148">
        <v>0</v>
      </c>
      <c r="F413" s="149">
        <v>0</v>
      </c>
      <c r="G413" s="109"/>
      <c r="H413" s="107"/>
      <c r="I413" s="79">
        <f t="shared" si="35"/>
        <v>0</v>
      </c>
      <c r="J413" s="191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</row>
    <row r="414" spans="1:23" s="4" customFormat="1">
      <c r="B414" s="4">
        <v>420</v>
      </c>
      <c r="C414" s="47">
        <v>5705292</v>
      </c>
      <c r="D414" s="4" t="s">
        <v>128</v>
      </c>
      <c r="E414" s="148">
        <v>63000</v>
      </c>
      <c r="F414" s="149">
        <v>63000</v>
      </c>
      <c r="G414" s="109">
        <v>64800</v>
      </c>
      <c r="H414" s="107">
        <f t="shared" si="34"/>
        <v>4.0123456790123455E-2</v>
      </c>
      <c r="I414" s="79">
        <f t="shared" si="35"/>
        <v>2600</v>
      </c>
      <c r="J414" s="191">
        <v>67400</v>
      </c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</row>
    <row r="415" spans="1:23" s="6" customFormat="1">
      <c r="A415" s="4"/>
      <c r="B415" s="4">
        <v>420</v>
      </c>
      <c r="C415" s="47"/>
      <c r="D415" s="4" t="s">
        <v>17</v>
      </c>
      <c r="E415" s="148">
        <v>0</v>
      </c>
      <c r="F415" s="149">
        <v>0</v>
      </c>
      <c r="G415" s="109"/>
      <c r="H415" s="107"/>
      <c r="I415" s="79">
        <f t="shared" si="35"/>
        <v>0</v>
      </c>
      <c r="J415" s="191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</row>
    <row r="416" spans="1:23" s="6" customFormat="1">
      <c r="A416" s="4"/>
      <c r="B416" s="4">
        <v>420</v>
      </c>
      <c r="C416" s="47">
        <v>5705420</v>
      </c>
      <c r="D416" s="4" t="s">
        <v>18</v>
      </c>
      <c r="E416" s="148">
        <v>0</v>
      </c>
      <c r="F416" s="149">
        <v>0</v>
      </c>
      <c r="G416" s="109"/>
      <c r="H416" s="107"/>
      <c r="I416" s="79">
        <f t="shared" si="35"/>
        <v>0</v>
      </c>
      <c r="J416" s="191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</row>
    <row r="417" spans="1:23" s="4" customFormat="1">
      <c r="B417" s="4">
        <v>420</v>
      </c>
      <c r="C417" s="47">
        <v>5705420</v>
      </c>
      <c r="D417" s="4" t="s">
        <v>19</v>
      </c>
      <c r="E417" s="148">
        <v>0</v>
      </c>
      <c r="F417" s="149">
        <v>0</v>
      </c>
      <c r="G417" s="109"/>
      <c r="H417" s="107"/>
      <c r="I417" s="79">
        <f t="shared" si="35"/>
        <v>0</v>
      </c>
      <c r="J417" s="191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</row>
    <row r="418" spans="1:23" s="4" customFormat="1">
      <c r="B418" s="4">
        <v>420</v>
      </c>
      <c r="C418" s="47">
        <v>5705301</v>
      </c>
      <c r="D418" s="4" t="s">
        <v>129</v>
      </c>
      <c r="E418" s="148">
        <v>4500</v>
      </c>
      <c r="F418" s="149">
        <v>4500</v>
      </c>
      <c r="G418" s="109">
        <v>5000</v>
      </c>
      <c r="H418" s="107">
        <f t="shared" si="34"/>
        <v>0.22</v>
      </c>
      <c r="I418" s="79">
        <f t="shared" si="35"/>
        <v>1100</v>
      </c>
      <c r="J418" s="191">
        <v>6100</v>
      </c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</row>
    <row r="419" spans="1:23" s="6" customFormat="1">
      <c r="A419" s="4"/>
      <c r="B419" s="4">
        <v>420</v>
      </c>
      <c r="C419" s="47"/>
      <c r="D419" s="4" t="s">
        <v>20</v>
      </c>
      <c r="E419" s="148">
        <v>0</v>
      </c>
      <c r="F419" s="149">
        <v>0</v>
      </c>
      <c r="G419" s="109"/>
      <c r="H419" s="107"/>
      <c r="I419" s="79">
        <f t="shared" si="35"/>
        <v>0</v>
      </c>
      <c r="J419" s="191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</row>
    <row r="420" spans="1:23" s="4" customFormat="1">
      <c r="B420" s="4">
        <v>420</v>
      </c>
      <c r="C420" s="47">
        <v>5705244</v>
      </c>
      <c r="D420" s="4" t="s">
        <v>272</v>
      </c>
      <c r="E420" s="148">
        <v>0</v>
      </c>
      <c r="F420" s="149">
        <v>0</v>
      </c>
      <c r="G420" s="109"/>
      <c r="H420" s="107"/>
      <c r="I420" s="79">
        <f t="shared" si="35"/>
        <v>0</v>
      </c>
      <c r="J420" s="191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</row>
    <row r="421" spans="1:23" s="6" customFormat="1">
      <c r="A421" s="4"/>
      <c r="B421" s="4">
        <v>420</v>
      </c>
      <c r="C421" s="47">
        <v>5705420</v>
      </c>
      <c r="D421" s="4" t="s">
        <v>6</v>
      </c>
      <c r="E421" s="148">
        <v>6000</v>
      </c>
      <c r="F421" s="149">
        <v>6200</v>
      </c>
      <c r="G421" s="109">
        <v>6200</v>
      </c>
      <c r="H421" s="107">
        <f t="shared" si="34"/>
        <v>4.0322580645161289E-2</v>
      </c>
      <c r="I421" s="79">
        <f t="shared" si="35"/>
        <v>250</v>
      </c>
      <c r="J421" s="191">
        <v>6450</v>
      </c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</row>
    <row r="422" spans="1:23" s="4" customFormat="1">
      <c r="B422" s="4">
        <v>420</v>
      </c>
      <c r="C422" s="47">
        <v>5705242</v>
      </c>
      <c r="D422" s="4" t="s">
        <v>370</v>
      </c>
      <c r="E422" s="148">
        <v>0</v>
      </c>
      <c r="F422" s="149">
        <v>0</v>
      </c>
      <c r="G422" s="109"/>
      <c r="H422" s="107"/>
      <c r="I422" s="79">
        <f t="shared" si="35"/>
        <v>0</v>
      </c>
      <c r="J422" s="191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</row>
    <row r="423" spans="1:23" s="4" customFormat="1">
      <c r="B423" s="4">
        <v>420</v>
      </c>
      <c r="C423" s="47">
        <v>5705156</v>
      </c>
      <c r="D423" s="4" t="s">
        <v>130</v>
      </c>
      <c r="E423" s="148">
        <v>0</v>
      </c>
      <c r="F423" s="149">
        <v>0</v>
      </c>
      <c r="G423" s="109"/>
      <c r="H423" s="107"/>
      <c r="I423" s="79">
        <f t="shared" si="35"/>
        <v>0</v>
      </c>
      <c r="J423" s="191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</row>
    <row r="424" spans="1:23" s="6" customFormat="1">
      <c r="A424" s="4"/>
      <c r="B424" s="4">
        <v>420</v>
      </c>
      <c r="C424" s="47">
        <v>5705531</v>
      </c>
      <c r="D424" s="4" t="s">
        <v>131</v>
      </c>
      <c r="E424" s="148">
        <v>0</v>
      </c>
      <c r="F424" s="149">
        <v>0</v>
      </c>
      <c r="G424" s="109"/>
      <c r="H424" s="107"/>
      <c r="I424" s="79">
        <f t="shared" si="35"/>
        <v>0</v>
      </c>
      <c r="J424" s="191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</row>
    <row r="425" spans="1:23" s="4" customFormat="1">
      <c r="B425" s="4">
        <v>420</v>
      </c>
      <c r="C425" s="47">
        <v>5705301</v>
      </c>
      <c r="D425" s="4" t="s">
        <v>308</v>
      </c>
      <c r="E425" s="148">
        <v>5000</v>
      </c>
      <c r="F425" s="149">
        <v>0</v>
      </c>
      <c r="G425" s="109"/>
      <c r="H425" s="107"/>
      <c r="I425" s="79">
        <f t="shared" si="35"/>
        <v>0</v>
      </c>
      <c r="J425" s="191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</row>
    <row r="426" spans="1:23" s="6" customFormat="1">
      <c r="A426" s="4"/>
      <c r="B426" s="4">
        <v>420</v>
      </c>
      <c r="C426" s="47">
        <v>5705700</v>
      </c>
      <c r="D426" s="4" t="s">
        <v>134</v>
      </c>
      <c r="E426" s="148">
        <v>75000</v>
      </c>
      <c r="F426" s="149">
        <v>75000</v>
      </c>
      <c r="G426" s="109">
        <v>75000</v>
      </c>
      <c r="H426" s="107">
        <f t="shared" si="34"/>
        <v>0</v>
      </c>
      <c r="I426" s="79">
        <f t="shared" si="35"/>
        <v>0</v>
      </c>
      <c r="J426" s="191">
        <v>75000</v>
      </c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</row>
    <row r="427" spans="1:23" s="4" customFormat="1">
      <c r="B427" s="4">
        <v>420</v>
      </c>
      <c r="C427" s="47">
        <v>5705531</v>
      </c>
      <c r="D427" s="4" t="s">
        <v>132</v>
      </c>
      <c r="E427" s="148">
        <v>25000</v>
      </c>
      <c r="F427" s="149">
        <v>30000</v>
      </c>
      <c r="G427" s="109">
        <v>31000</v>
      </c>
      <c r="H427" s="107">
        <f t="shared" si="34"/>
        <v>0.29032258064516131</v>
      </c>
      <c r="I427" s="79">
        <f t="shared" si="35"/>
        <v>9000</v>
      </c>
      <c r="J427" s="191">
        <v>40000</v>
      </c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</row>
    <row r="428" spans="1:23" s="4" customFormat="1">
      <c r="B428" s="4">
        <v>420</v>
      </c>
      <c r="C428" s="47"/>
      <c r="D428" s="4" t="s">
        <v>7</v>
      </c>
      <c r="E428" s="148">
        <v>0</v>
      </c>
      <c r="F428" s="149">
        <v>0</v>
      </c>
      <c r="G428" s="109"/>
      <c r="H428" s="107"/>
      <c r="I428" s="79">
        <f t="shared" si="35"/>
        <v>0</v>
      </c>
      <c r="J428" s="191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</row>
    <row r="429" spans="1:23" s="4" customFormat="1">
      <c r="B429" s="4">
        <v>420</v>
      </c>
      <c r="C429" s="47">
        <v>5705420</v>
      </c>
      <c r="D429" s="4" t="s">
        <v>8</v>
      </c>
      <c r="E429" s="148">
        <v>200</v>
      </c>
      <c r="F429" s="149">
        <v>0</v>
      </c>
      <c r="G429" s="109"/>
      <c r="H429" s="107"/>
      <c r="I429" s="79">
        <f t="shared" si="35"/>
        <v>0</v>
      </c>
      <c r="J429" s="191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</row>
    <row r="430" spans="1:23" s="4" customFormat="1">
      <c r="B430" s="4">
        <v>420</v>
      </c>
      <c r="C430" s="47"/>
      <c r="D430" s="4" t="s">
        <v>22</v>
      </c>
      <c r="E430" s="148">
        <v>0</v>
      </c>
      <c r="F430" s="149">
        <v>0</v>
      </c>
      <c r="G430" s="109"/>
      <c r="H430" s="107"/>
      <c r="I430" s="79">
        <f t="shared" si="35"/>
        <v>0</v>
      </c>
      <c r="J430" s="191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</row>
    <row r="431" spans="1:23" s="4" customFormat="1">
      <c r="B431" s="4">
        <v>420</v>
      </c>
      <c r="C431" s="47">
        <v>5705272</v>
      </c>
      <c r="D431" s="4" t="s">
        <v>133</v>
      </c>
      <c r="E431" s="148">
        <v>5000</v>
      </c>
      <c r="F431" s="149">
        <v>5000</v>
      </c>
      <c r="G431" s="109">
        <v>5000</v>
      </c>
      <c r="H431" s="107">
        <f t="shared" si="34"/>
        <v>0</v>
      </c>
      <c r="I431" s="79">
        <f t="shared" si="35"/>
        <v>0</v>
      </c>
      <c r="J431" s="191">
        <v>5000</v>
      </c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</row>
    <row r="432" spans="1:23" s="4" customFormat="1">
      <c r="C432" s="47"/>
      <c r="E432" s="148"/>
      <c r="F432" s="149"/>
      <c r="G432" s="109"/>
      <c r="H432" s="107"/>
      <c r="I432" s="79">
        <f t="shared" si="35"/>
        <v>0</v>
      </c>
      <c r="J432" s="191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</row>
    <row r="433" spans="1:23" s="4" customFormat="1">
      <c r="A433" s="4" t="s">
        <v>347</v>
      </c>
      <c r="B433" s="6" t="s">
        <v>2</v>
      </c>
      <c r="C433" s="46" t="s">
        <v>338</v>
      </c>
      <c r="D433" s="6"/>
      <c r="E433" s="153">
        <f t="shared" ref="E433:F433" si="36">SUM(E397:E431)</f>
        <v>896386</v>
      </c>
      <c r="F433" s="154">
        <f t="shared" si="36"/>
        <v>942000</v>
      </c>
      <c r="G433" s="86">
        <f>SUM(G397:G432)</f>
        <v>972903</v>
      </c>
      <c r="H433" s="174">
        <f t="shared" si="34"/>
        <v>7.0558935474553983E-2</v>
      </c>
      <c r="I433" s="175">
        <f t="shared" si="35"/>
        <v>68647</v>
      </c>
      <c r="J433" s="192">
        <f>SUM(J397:J432)</f>
        <v>1041550</v>
      </c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</row>
    <row r="434" spans="1:23" s="4" customFormat="1">
      <c r="C434" s="47"/>
      <c r="E434" s="148"/>
      <c r="F434" s="150"/>
      <c r="G434" s="87"/>
      <c r="H434" s="107"/>
      <c r="I434" s="79"/>
      <c r="J434" s="87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</row>
    <row r="435" spans="1:23" s="4" customFormat="1">
      <c r="B435" s="6">
        <v>492</v>
      </c>
      <c r="C435" s="46" t="s">
        <v>235</v>
      </c>
      <c r="D435" s="6"/>
      <c r="E435" s="151"/>
      <c r="F435" s="152"/>
      <c r="G435" s="86"/>
      <c r="H435" s="174"/>
      <c r="I435" s="175"/>
      <c r="J435" s="86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</row>
    <row r="436" spans="1:23" s="4" customFormat="1">
      <c r="B436" s="4">
        <v>492</v>
      </c>
      <c r="C436" s="47">
        <v>5705700</v>
      </c>
      <c r="D436" s="4" t="s">
        <v>236</v>
      </c>
      <c r="E436" s="148">
        <v>250</v>
      </c>
      <c r="F436" s="149">
        <v>250</v>
      </c>
      <c r="G436" s="109">
        <v>250</v>
      </c>
      <c r="H436" s="107">
        <f t="shared" si="34"/>
        <v>0</v>
      </c>
      <c r="I436" s="79">
        <f t="shared" si="35"/>
        <v>0</v>
      </c>
      <c r="J436" s="109">
        <v>250</v>
      </c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</row>
    <row r="437" spans="1:23" s="4" customFormat="1">
      <c r="B437" s="4">
        <v>492</v>
      </c>
      <c r="C437" s="47">
        <v>5705700</v>
      </c>
      <c r="D437" s="4" t="s">
        <v>237</v>
      </c>
      <c r="E437" s="148">
        <v>1000</v>
      </c>
      <c r="F437" s="149">
        <v>1000</v>
      </c>
      <c r="G437" s="109">
        <v>1500</v>
      </c>
      <c r="H437" s="107">
        <f t="shared" si="34"/>
        <v>0</v>
      </c>
      <c r="I437" s="79">
        <f t="shared" si="35"/>
        <v>0</v>
      </c>
      <c r="J437" s="109">
        <v>1500</v>
      </c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</row>
    <row r="438" spans="1:23" s="4" customFormat="1">
      <c r="C438" s="47"/>
      <c r="E438" s="148"/>
      <c r="F438" s="150"/>
      <c r="G438" s="87"/>
      <c r="H438" s="107"/>
      <c r="I438" s="79">
        <f t="shared" si="35"/>
        <v>0</v>
      </c>
      <c r="J438" s="87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</row>
    <row r="439" spans="1:23" s="4" customFormat="1">
      <c r="A439" s="4" t="s">
        <v>342</v>
      </c>
      <c r="B439" s="6" t="s">
        <v>2</v>
      </c>
      <c r="C439" s="46" t="s">
        <v>235</v>
      </c>
      <c r="D439" s="6"/>
      <c r="E439" s="153">
        <f t="shared" ref="E439:F439" si="37">SUM(E436:E437)</f>
        <v>1250</v>
      </c>
      <c r="F439" s="154">
        <f t="shared" si="37"/>
        <v>1250</v>
      </c>
      <c r="G439" s="86">
        <f>SUM(G436:G438)</f>
        <v>1750</v>
      </c>
      <c r="H439" s="174">
        <f t="shared" si="34"/>
        <v>0</v>
      </c>
      <c r="I439" s="175">
        <f t="shared" si="35"/>
        <v>0</v>
      </c>
      <c r="J439" s="86">
        <f>SUM(J436:J438)</f>
        <v>1750</v>
      </c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</row>
    <row r="440" spans="1:23" s="6" customFormat="1">
      <c r="A440" s="4"/>
      <c r="B440" s="4"/>
      <c r="C440" s="47"/>
      <c r="D440" s="4"/>
      <c r="E440" s="148"/>
      <c r="F440" s="150"/>
      <c r="G440" s="87"/>
      <c r="H440" s="107"/>
      <c r="I440" s="79"/>
      <c r="J440" s="87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</row>
    <row r="441" spans="1:23" s="4" customFormat="1">
      <c r="B441" s="6">
        <v>425</v>
      </c>
      <c r="C441" s="46" t="s">
        <v>135</v>
      </c>
      <c r="D441" s="6"/>
      <c r="E441" s="151"/>
      <c r="F441" s="152"/>
      <c r="G441" s="86"/>
      <c r="H441" s="174"/>
      <c r="I441" s="175"/>
      <c r="J441" s="86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</row>
    <row r="442" spans="1:23" s="6" customFormat="1">
      <c r="A442" s="4"/>
      <c r="B442" s="4">
        <v>425</v>
      </c>
      <c r="C442" s="47">
        <v>5705211</v>
      </c>
      <c r="D442" s="4" t="s">
        <v>62</v>
      </c>
      <c r="E442" s="148">
        <v>3000</v>
      </c>
      <c r="F442" s="149">
        <v>4000</v>
      </c>
      <c r="G442" s="109">
        <v>4000</v>
      </c>
      <c r="H442" s="107">
        <f t="shared" si="34"/>
        <v>0</v>
      </c>
      <c r="I442" s="79">
        <f t="shared" si="35"/>
        <v>0</v>
      </c>
      <c r="J442" s="109">
        <v>4000</v>
      </c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</row>
    <row r="443" spans="1:23" s="4" customFormat="1">
      <c r="B443" s="4">
        <v>425</v>
      </c>
      <c r="C443" s="47"/>
      <c r="E443" s="148"/>
      <c r="F443" s="150"/>
      <c r="G443" s="87"/>
      <c r="H443" s="107"/>
      <c r="I443" s="79">
        <f t="shared" si="35"/>
        <v>0</v>
      </c>
      <c r="J443" s="87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</row>
    <row r="444" spans="1:23" s="4" customFormat="1">
      <c r="A444" s="4" t="s">
        <v>342</v>
      </c>
      <c r="B444" s="6" t="s">
        <v>2</v>
      </c>
      <c r="C444" s="46" t="s">
        <v>136</v>
      </c>
      <c r="D444" s="6"/>
      <c r="E444" s="153">
        <f t="shared" ref="E444:F444" si="38">SUM(E442:E443)</f>
        <v>3000</v>
      </c>
      <c r="F444" s="154">
        <f t="shared" si="38"/>
        <v>4000</v>
      </c>
      <c r="G444" s="86">
        <f>SUM(G442:G443)</f>
        <v>4000</v>
      </c>
      <c r="H444" s="174">
        <f t="shared" si="34"/>
        <v>0</v>
      </c>
      <c r="I444" s="175">
        <f t="shared" si="35"/>
        <v>0</v>
      </c>
      <c r="J444" s="86">
        <f>SUM(J442:J443)</f>
        <v>4000</v>
      </c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</row>
    <row r="445" spans="1:23" s="4" customFormat="1">
      <c r="C445" s="47"/>
      <c r="E445" s="148"/>
      <c r="F445" s="150"/>
      <c r="G445" s="87"/>
      <c r="H445" s="107"/>
      <c r="I445" s="79"/>
      <c r="J445" s="87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</row>
    <row r="446" spans="1:23" s="4" customFormat="1">
      <c r="B446" s="6">
        <v>491</v>
      </c>
      <c r="C446" s="46" t="s">
        <v>137</v>
      </c>
      <c r="D446" s="6"/>
      <c r="E446" s="151"/>
      <c r="F446" s="152"/>
      <c r="G446" s="86"/>
      <c r="H446" s="174"/>
      <c r="I446" s="175"/>
      <c r="J446" s="86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</row>
    <row r="447" spans="1:23" s="4" customFormat="1">
      <c r="B447" s="4">
        <v>491</v>
      </c>
      <c r="C447" s="47">
        <v>5105111</v>
      </c>
      <c r="D447" s="4" t="s">
        <v>13</v>
      </c>
      <c r="E447" s="148">
        <v>366</v>
      </c>
      <c r="F447" s="149">
        <v>371</v>
      </c>
      <c r="G447" s="109">
        <v>600</v>
      </c>
      <c r="H447" s="107">
        <f t="shared" si="34"/>
        <v>0</v>
      </c>
      <c r="I447" s="79">
        <f t="shared" si="35"/>
        <v>0</v>
      </c>
      <c r="J447" s="109">
        <v>600</v>
      </c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</row>
    <row r="448" spans="1:23" s="4" customFormat="1">
      <c r="B448" s="4">
        <v>491</v>
      </c>
      <c r="C448" s="47">
        <v>5705253</v>
      </c>
      <c r="D448" s="4" t="s">
        <v>365</v>
      </c>
      <c r="E448" s="148">
        <v>2500</v>
      </c>
      <c r="F448" s="149">
        <v>2500</v>
      </c>
      <c r="G448" s="109">
        <v>3000</v>
      </c>
      <c r="H448" s="107">
        <f t="shared" si="34"/>
        <v>0</v>
      </c>
      <c r="I448" s="79">
        <f t="shared" si="35"/>
        <v>0</v>
      </c>
      <c r="J448" s="109">
        <v>3000</v>
      </c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</row>
    <row r="449" spans="1:23" s="4" customFormat="1">
      <c r="B449" s="4">
        <v>491</v>
      </c>
      <c r="C449" s="47"/>
      <c r="D449" s="4" t="s">
        <v>96</v>
      </c>
      <c r="E449" s="148">
        <v>0</v>
      </c>
      <c r="F449" s="149">
        <v>0</v>
      </c>
      <c r="G449" s="109"/>
      <c r="H449" s="107"/>
      <c r="I449" s="79">
        <f t="shared" si="35"/>
        <v>0</v>
      </c>
      <c r="J449" s="109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</row>
    <row r="450" spans="1:23" s="4" customFormat="1">
      <c r="B450" s="4">
        <v>491</v>
      </c>
      <c r="C450" s="47"/>
      <c r="D450" s="4" t="s">
        <v>21</v>
      </c>
      <c r="E450" s="148">
        <v>0</v>
      </c>
      <c r="F450" s="149">
        <v>0</v>
      </c>
      <c r="G450" s="109"/>
      <c r="H450" s="107"/>
      <c r="I450" s="79">
        <f t="shared" si="35"/>
        <v>0</v>
      </c>
      <c r="J450" s="109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</row>
    <row r="451" spans="1:23" s="4" customFormat="1">
      <c r="B451" s="4">
        <v>491</v>
      </c>
      <c r="C451" s="47"/>
      <c r="D451" s="4" t="s">
        <v>6</v>
      </c>
      <c r="E451" s="148">
        <v>0</v>
      </c>
      <c r="F451" s="149">
        <v>0</v>
      </c>
      <c r="G451" s="109"/>
      <c r="H451" s="107"/>
      <c r="I451" s="79">
        <f t="shared" si="35"/>
        <v>0</v>
      </c>
      <c r="J451" s="109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</row>
    <row r="452" spans="1:23" s="4" customFormat="1">
      <c r="B452" s="4">
        <v>491</v>
      </c>
      <c r="C452" s="47">
        <v>5705253</v>
      </c>
      <c r="D452" s="4" t="s">
        <v>138</v>
      </c>
      <c r="E452" s="148">
        <v>5000</v>
      </c>
      <c r="F452" s="149">
        <v>5000</v>
      </c>
      <c r="G452" s="109">
        <v>5500</v>
      </c>
      <c r="H452" s="107">
        <f t="shared" si="34"/>
        <v>0</v>
      </c>
      <c r="I452" s="79">
        <f t="shared" si="35"/>
        <v>0</v>
      </c>
      <c r="J452" s="109">
        <v>5500</v>
      </c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</row>
    <row r="453" spans="1:23" s="4" customFormat="1">
      <c r="B453" s="4">
        <v>491</v>
      </c>
      <c r="C453" s="47"/>
      <c r="E453" s="148"/>
      <c r="F453" s="150"/>
      <c r="G453" s="109"/>
      <c r="H453" s="107"/>
      <c r="I453" s="79">
        <f t="shared" si="35"/>
        <v>0</v>
      </c>
      <c r="J453" s="109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</row>
    <row r="454" spans="1:23" s="4" customFormat="1">
      <c r="A454" s="4" t="s">
        <v>347</v>
      </c>
      <c r="B454" s="89" t="s">
        <v>2</v>
      </c>
      <c r="C454" s="46" t="s">
        <v>139</v>
      </c>
      <c r="D454" s="6"/>
      <c r="E454" s="153">
        <f t="shared" ref="E454:F454" si="39">SUM(E447:E452)</f>
        <v>7866</v>
      </c>
      <c r="F454" s="154">
        <f t="shared" si="39"/>
        <v>7871</v>
      </c>
      <c r="G454" s="86">
        <f>SUM(G447:G453)</f>
        <v>9100</v>
      </c>
      <c r="H454" s="174">
        <f t="shared" si="34"/>
        <v>0</v>
      </c>
      <c r="I454" s="175">
        <f t="shared" si="35"/>
        <v>0</v>
      </c>
      <c r="J454" s="86">
        <f>SUM(J447:J453)</f>
        <v>9100</v>
      </c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</row>
    <row r="455" spans="1:23" s="6" customFormat="1">
      <c r="A455" s="4"/>
      <c r="B455" s="4"/>
      <c r="C455" s="47"/>
      <c r="D455" s="4"/>
      <c r="E455" s="148"/>
      <c r="F455" s="150"/>
      <c r="G455" s="87"/>
      <c r="H455" s="107"/>
      <c r="I455" s="79"/>
      <c r="J455" s="87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</row>
    <row r="456" spans="1:23" s="4" customFormat="1">
      <c r="B456" s="6">
        <v>510</v>
      </c>
      <c r="C456" s="46" t="s">
        <v>140</v>
      </c>
      <c r="D456" s="6"/>
      <c r="E456" s="151"/>
      <c r="F456" s="152"/>
      <c r="G456" s="86"/>
      <c r="H456" s="174"/>
      <c r="I456" s="175"/>
      <c r="J456" s="86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</row>
    <row r="457" spans="1:23" s="6" customFormat="1">
      <c r="A457" s="4"/>
      <c r="B457" s="4">
        <v>510</v>
      </c>
      <c r="C457" s="47">
        <v>5105111</v>
      </c>
      <c r="D457" s="4" t="s">
        <v>141</v>
      </c>
      <c r="E457" s="155">
        <v>2258</v>
      </c>
      <c r="F457" s="149">
        <v>2292</v>
      </c>
      <c r="G457" s="109">
        <v>3000</v>
      </c>
      <c r="H457" s="107">
        <f t="shared" si="34"/>
        <v>0</v>
      </c>
      <c r="I457" s="79">
        <f t="shared" si="35"/>
        <v>0</v>
      </c>
      <c r="J457" s="109">
        <v>3000</v>
      </c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</row>
    <row r="458" spans="1:23" s="4" customFormat="1">
      <c r="B458" s="4">
        <v>510</v>
      </c>
      <c r="C458" s="47"/>
      <c r="D458" s="4" t="s">
        <v>22</v>
      </c>
      <c r="E458" s="148">
        <v>0</v>
      </c>
      <c r="F458" s="149">
        <v>0</v>
      </c>
      <c r="G458" s="109">
        <v>0</v>
      </c>
      <c r="H458" s="107"/>
      <c r="I458" s="79">
        <f t="shared" si="35"/>
        <v>0</v>
      </c>
      <c r="J458" s="109">
        <v>0</v>
      </c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</row>
    <row r="459" spans="1:23" s="4" customFormat="1">
      <c r="B459" s="4">
        <v>510</v>
      </c>
      <c r="C459" s="47"/>
      <c r="E459" s="148"/>
      <c r="F459" s="150"/>
      <c r="G459" s="87"/>
      <c r="H459" s="107"/>
      <c r="I459" s="79">
        <f t="shared" si="35"/>
        <v>0</v>
      </c>
      <c r="J459" s="87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</row>
    <row r="460" spans="1:23" s="4" customFormat="1">
      <c r="A460" s="90" t="s">
        <v>348</v>
      </c>
      <c r="B460" s="91" t="s">
        <v>2</v>
      </c>
      <c r="C460" s="46" t="s">
        <v>142</v>
      </c>
      <c r="D460" s="6"/>
      <c r="E460" s="153">
        <f t="shared" ref="E460:F460" si="40">SUM(E457:E458)</f>
        <v>2258</v>
      </c>
      <c r="F460" s="154">
        <f t="shared" si="40"/>
        <v>2292</v>
      </c>
      <c r="G460" s="86">
        <f>SUM(G457:G459)</f>
        <v>3000</v>
      </c>
      <c r="H460" s="174">
        <f t="shared" si="34"/>
        <v>0</v>
      </c>
      <c r="I460" s="175">
        <f t="shared" si="35"/>
        <v>0</v>
      </c>
      <c r="J460" s="86">
        <f>SUM(J457:J459)</f>
        <v>3000</v>
      </c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</row>
    <row r="461" spans="1:23" s="4" customFormat="1">
      <c r="C461" s="47"/>
      <c r="E461" s="148"/>
      <c r="F461" s="150"/>
      <c r="G461" s="87"/>
      <c r="H461" s="107"/>
      <c r="I461" s="79"/>
      <c r="J461" s="87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</row>
    <row r="462" spans="1:23" s="4" customFormat="1">
      <c r="B462" s="6">
        <v>541</v>
      </c>
      <c r="C462" s="46" t="s">
        <v>144</v>
      </c>
      <c r="D462" s="6"/>
      <c r="E462" s="151"/>
      <c r="F462" s="152"/>
      <c r="G462" s="86"/>
      <c r="H462" s="174"/>
      <c r="I462" s="175"/>
      <c r="J462" s="86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</row>
    <row r="463" spans="1:23" s="4" customFormat="1">
      <c r="B463" s="4">
        <v>541</v>
      </c>
      <c r="C463" s="47">
        <v>5105115</v>
      </c>
      <c r="D463" s="4" t="s">
        <v>145</v>
      </c>
      <c r="E463" s="148">
        <v>26000</v>
      </c>
      <c r="F463" s="149">
        <v>26000</v>
      </c>
      <c r="G463" s="109">
        <v>0</v>
      </c>
      <c r="H463" s="107"/>
      <c r="I463" s="79">
        <f t="shared" ref="I463:I524" si="41">J463-G463</f>
        <v>31954</v>
      </c>
      <c r="J463" s="109">
        <v>31954</v>
      </c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</row>
    <row r="464" spans="1:23" s="4" customFormat="1">
      <c r="B464" s="4">
        <v>541</v>
      </c>
      <c r="C464" s="47">
        <v>5105115</v>
      </c>
      <c r="D464" s="4" t="s">
        <v>428</v>
      </c>
      <c r="E464" s="148"/>
      <c r="F464" s="149"/>
      <c r="G464" s="109">
        <v>26000</v>
      </c>
      <c r="H464" s="107">
        <f t="shared" ref="H464:H521" si="42">(J464-G464)/G464</f>
        <v>-1</v>
      </c>
      <c r="I464" s="79">
        <f t="shared" si="41"/>
        <v>-26000</v>
      </c>
      <c r="J464" s="109">
        <v>0</v>
      </c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</row>
    <row r="465" spans="1:23" s="4" customFormat="1">
      <c r="B465" s="4">
        <v>541</v>
      </c>
      <c r="C465" s="47">
        <v>5705422</v>
      </c>
      <c r="D465" s="4" t="s">
        <v>241</v>
      </c>
      <c r="E465" s="148">
        <v>1600</v>
      </c>
      <c r="F465" s="149">
        <v>1775</v>
      </c>
      <c r="G465" s="109">
        <v>1775</v>
      </c>
      <c r="H465" s="107">
        <f t="shared" si="42"/>
        <v>0</v>
      </c>
      <c r="I465" s="79">
        <f t="shared" si="41"/>
        <v>0</v>
      </c>
      <c r="J465" s="109">
        <v>1775</v>
      </c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</row>
    <row r="466" spans="1:23" s="6" customFormat="1">
      <c r="A466" s="4"/>
      <c r="B466" s="4">
        <v>541</v>
      </c>
      <c r="C466" s="47">
        <v>5705715</v>
      </c>
      <c r="D466" s="4" t="s">
        <v>243</v>
      </c>
      <c r="E466" s="148">
        <v>600</v>
      </c>
      <c r="F466" s="149">
        <v>500</v>
      </c>
      <c r="G466" s="109">
        <v>500</v>
      </c>
      <c r="H466" s="107">
        <f t="shared" si="42"/>
        <v>0</v>
      </c>
      <c r="I466" s="79">
        <f t="shared" si="41"/>
        <v>0</v>
      </c>
      <c r="J466" s="109">
        <v>500</v>
      </c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</row>
    <row r="467" spans="1:23" s="6" customFormat="1">
      <c r="A467" s="4"/>
      <c r="B467" s="4">
        <v>541</v>
      </c>
      <c r="C467" s="47">
        <v>5705420</v>
      </c>
      <c r="D467" s="4" t="s">
        <v>6</v>
      </c>
      <c r="E467" s="148">
        <v>700</v>
      </c>
      <c r="F467" s="149">
        <v>750</v>
      </c>
      <c r="G467" s="109">
        <v>750</v>
      </c>
      <c r="H467" s="107">
        <f t="shared" si="42"/>
        <v>0</v>
      </c>
      <c r="I467" s="79">
        <f t="shared" si="41"/>
        <v>0</v>
      </c>
      <c r="J467" s="109">
        <v>750</v>
      </c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</row>
    <row r="468" spans="1:23" s="4" customFormat="1">
      <c r="B468" s="4">
        <v>541</v>
      </c>
      <c r="C468" s="47">
        <v>5705407</v>
      </c>
      <c r="D468" s="4" t="s">
        <v>239</v>
      </c>
      <c r="E468" s="148">
        <v>1000</v>
      </c>
      <c r="F468" s="149">
        <v>1400</v>
      </c>
      <c r="G468" s="109">
        <v>1400</v>
      </c>
      <c r="H468" s="107">
        <f t="shared" si="42"/>
        <v>0</v>
      </c>
      <c r="I468" s="79">
        <f t="shared" si="41"/>
        <v>0</v>
      </c>
      <c r="J468" s="109">
        <v>1400</v>
      </c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</row>
    <row r="469" spans="1:23" s="4" customFormat="1">
      <c r="B469" s="4">
        <v>541</v>
      </c>
      <c r="C469" s="47">
        <v>5705241</v>
      </c>
      <c r="D469" s="4" t="s">
        <v>244</v>
      </c>
      <c r="E469" s="148">
        <v>300</v>
      </c>
      <c r="F469" s="149">
        <v>300</v>
      </c>
      <c r="G469" s="109">
        <v>300</v>
      </c>
      <c r="H469" s="107">
        <f t="shared" si="42"/>
        <v>0</v>
      </c>
      <c r="I469" s="79">
        <f t="shared" si="41"/>
        <v>0</v>
      </c>
      <c r="J469" s="109">
        <v>300</v>
      </c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</row>
    <row r="470" spans="1:23" s="4" customFormat="1">
      <c r="B470" s="4">
        <v>541</v>
      </c>
      <c r="C470" s="47">
        <v>5705491</v>
      </c>
      <c r="D470" s="4" t="s">
        <v>242</v>
      </c>
      <c r="E470" s="148">
        <v>3600</v>
      </c>
      <c r="F470" s="149">
        <v>3600</v>
      </c>
      <c r="G470" s="109">
        <v>4000</v>
      </c>
      <c r="H470" s="107">
        <f t="shared" si="42"/>
        <v>0</v>
      </c>
      <c r="I470" s="79">
        <f t="shared" si="41"/>
        <v>0</v>
      </c>
      <c r="J470" s="109">
        <v>4000</v>
      </c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</row>
    <row r="471" spans="1:23" s="4" customFormat="1">
      <c r="B471" s="4">
        <v>541</v>
      </c>
      <c r="C471" s="47">
        <v>5705700</v>
      </c>
      <c r="D471" s="4" t="s">
        <v>245</v>
      </c>
      <c r="E471" s="148">
        <v>500</v>
      </c>
      <c r="F471" s="149">
        <v>500</v>
      </c>
      <c r="G471" s="109">
        <v>500</v>
      </c>
      <c r="H471" s="107">
        <f t="shared" si="42"/>
        <v>0.78</v>
      </c>
      <c r="I471" s="79">
        <f t="shared" si="41"/>
        <v>390</v>
      </c>
      <c r="J471" s="109">
        <v>890</v>
      </c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</row>
    <row r="472" spans="1:23" s="4" customFormat="1">
      <c r="B472" s="4">
        <v>541</v>
      </c>
      <c r="C472" s="47">
        <v>5705711</v>
      </c>
      <c r="D472" s="4" t="s">
        <v>240</v>
      </c>
      <c r="E472" s="148">
        <v>890</v>
      </c>
      <c r="F472" s="149">
        <v>890</v>
      </c>
      <c r="G472" s="109">
        <v>890</v>
      </c>
      <c r="H472" s="107">
        <f t="shared" si="42"/>
        <v>-0.43820224719101125</v>
      </c>
      <c r="I472" s="79">
        <f t="shared" si="41"/>
        <v>-390</v>
      </c>
      <c r="J472" s="109">
        <v>500</v>
      </c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</row>
    <row r="473" spans="1:23" s="4" customFormat="1">
      <c r="B473" s="4">
        <v>541</v>
      </c>
      <c r="C473" s="47"/>
      <c r="D473" s="4" t="s">
        <v>22</v>
      </c>
      <c r="E473" s="148">
        <v>0</v>
      </c>
      <c r="F473" s="149">
        <v>0</v>
      </c>
      <c r="G473" s="109">
        <v>0</v>
      </c>
      <c r="H473" s="107"/>
      <c r="I473" s="79">
        <f t="shared" si="41"/>
        <v>0</v>
      </c>
      <c r="J473" s="109">
        <v>0</v>
      </c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</row>
    <row r="474" spans="1:23" s="4" customFormat="1">
      <c r="B474" s="4">
        <v>541</v>
      </c>
      <c r="C474" s="47"/>
      <c r="E474" s="148"/>
      <c r="F474" s="150"/>
      <c r="G474" s="109"/>
      <c r="H474" s="107"/>
      <c r="I474" s="79">
        <f t="shared" si="41"/>
        <v>0</v>
      </c>
      <c r="J474" s="109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</row>
    <row r="475" spans="1:23" s="4" customFormat="1">
      <c r="A475" t="s">
        <v>348</v>
      </c>
      <c r="B475" s="91" t="s">
        <v>2</v>
      </c>
      <c r="C475" s="46" t="s">
        <v>146</v>
      </c>
      <c r="D475" s="6"/>
      <c r="E475" s="153">
        <f>SUM(E463:E473)</f>
        <v>35190</v>
      </c>
      <c r="F475" s="154">
        <f>SUM(F463:F473)</f>
        <v>35715</v>
      </c>
      <c r="G475" s="86">
        <f>SUM(G463:G474)</f>
        <v>36115</v>
      </c>
      <c r="H475" s="174">
        <f t="shared" si="42"/>
        <v>0.16486224560431953</v>
      </c>
      <c r="I475" s="175">
        <f t="shared" si="41"/>
        <v>5954</v>
      </c>
      <c r="J475" s="86">
        <f>SUM(J463:J474)</f>
        <v>42069</v>
      </c>
      <c r="K475" s="195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</row>
    <row r="476" spans="1:23" s="4" customFormat="1">
      <c r="C476" s="47"/>
      <c r="E476" s="148"/>
      <c r="F476" s="150"/>
      <c r="G476" s="87"/>
      <c r="H476" s="107"/>
      <c r="I476" s="79"/>
      <c r="J476" s="87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</row>
    <row r="477" spans="1:23" s="4" customFormat="1">
      <c r="B477" s="6">
        <v>543</v>
      </c>
      <c r="C477" s="46" t="s">
        <v>147</v>
      </c>
      <c r="D477" s="6"/>
      <c r="E477" s="151"/>
      <c r="F477" s="152"/>
      <c r="G477" s="86"/>
      <c r="H477" s="174"/>
      <c r="I477" s="175"/>
      <c r="J477" s="86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</row>
    <row r="478" spans="1:23" s="4" customFormat="1">
      <c r="B478" s="4">
        <v>543</v>
      </c>
      <c r="C478" s="47">
        <v>5105115</v>
      </c>
      <c r="D478" s="4" t="s">
        <v>143</v>
      </c>
      <c r="E478" s="148">
        <v>8361</v>
      </c>
      <c r="F478" s="149">
        <v>8487</v>
      </c>
      <c r="G478" s="109">
        <v>8487</v>
      </c>
      <c r="H478" s="107">
        <f t="shared" si="42"/>
        <v>0</v>
      </c>
      <c r="I478" s="79">
        <f t="shared" si="41"/>
        <v>0</v>
      </c>
      <c r="J478" s="109">
        <v>8487</v>
      </c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</row>
    <row r="479" spans="1:23" s="4" customFormat="1">
      <c r="B479" s="4">
        <v>543</v>
      </c>
      <c r="C479" s="47">
        <v>5705718</v>
      </c>
      <c r="D479" s="4" t="s">
        <v>20</v>
      </c>
      <c r="E479" s="148">
        <v>300</v>
      </c>
      <c r="F479" s="149">
        <v>300</v>
      </c>
      <c r="G479" s="109">
        <v>300</v>
      </c>
      <c r="H479" s="107">
        <f t="shared" si="42"/>
        <v>0</v>
      </c>
      <c r="I479" s="79">
        <f t="shared" si="41"/>
        <v>0</v>
      </c>
      <c r="J479" s="109">
        <v>300</v>
      </c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</row>
    <row r="480" spans="1:23" s="4" customFormat="1">
      <c r="B480" s="4">
        <v>543</v>
      </c>
      <c r="C480" s="47"/>
      <c r="D480" s="4" t="s">
        <v>6</v>
      </c>
      <c r="E480" s="148">
        <v>0</v>
      </c>
      <c r="F480" s="149">
        <v>0</v>
      </c>
      <c r="G480" s="109"/>
      <c r="H480" s="107"/>
      <c r="I480" s="79">
        <f t="shared" si="41"/>
        <v>0</v>
      </c>
      <c r="J480" s="109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</row>
    <row r="481" spans="1:23" s="4" customFormat="1">
      <c r="B481" s="4">
        <v>543</v>
      </c>
      <c r="C481" s="47">
        <v>5705491</v>
      </c>
      <c r="D481" s="4" t="s">
        <v>224</v>
      </c>
      <c r="E481" s="148">
        <v>4200</v>
      </c>
      <c r="F481" s="149">
        <v>4200</v>
      </c>
      <c r="G481" s="109">
        <v>4200</v>
      </c>
      <c r="H481" s="107">
        <f t="shared" si="42"/>
        <v>0</v>
      </c>
      <c r="I481" s="79">
        <f t="shared" si="41"/>
        <v>0</v>
      </c>
      <c r="J481" s="109">
        <v>4200</v>
      </c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</row>
    <row r="482" spans="1:23" s="4" customFormat="1">
      <c r="B482" s="4">
        <v>543</v>
      </c>
      <c r="C482" s="47"/>
      <c r="D482" s="4" t="s">
        <v>8</v>
      </c>
      <c r="E482" s="148">
        <v>0</v>
      </c>
      <c r="F482" s="149">
        <v>0</v>
      </c>
      <c r="G482" s="109"/>
      <c r="H482" s="107"/>
      <c r="I482" s="79">
        <f t="shared" si="41"/>
        <v>0</v>
      </c>
      <c r="J482" s="109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</row>
    <row r="483" spans="1:23" s="4" customFormat="1">
      <c r="B483" s="4">
        <v>543</v>
      </c>
      <c r="C483" s="47">
        <v>5795785</v>
      </c>
      <c r="D483" s="4" t="s">
        <v>148</v>
      </c>
      <c r="E483" s="148">
        <v>40000</v>
      </c>
      <c r="F483" s="149">
        <v>40000</v>
      </c>
      <c r="G483" s="109">
        <v>40000</v>
      </c>
      <c r="H483" s="107">
        <f t="shared" si="42"/>
        <v>0</v>
      </c>
      <c r="I483" s="79">
        <f t="shared" si="41"/>
        <v>0</v>
      </c>
      <c r="J483" s="109">
        <v>40000</v>
      </c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</row>
    <row r="484" spans="1:23" s="4" customFormat="1">
      <c r="C484" s="47"/>
      <c r="E484" s="148"/>
      <c r="F484" s="150"/>
      <c r="G484" s="109"/>
      <c r="H484" s="107"/>
      <c r="I484" s="79">
        <f t="shared" si="41"/>
        <v>0</v>
      </c>
      <c r="J484" s="109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</row>
    <row r="485" spans="1:23" s="4" customFormat="1">
      <c r="A485" t="s">
        <v>348</v>
      </c>
      <c r="B485" s="6" t="s">
        <v>2</v>
      </c>
      <c r="C485" s="46" t="s">
        <v>149</v>
      </c>
      <c r="D485" s="6"/>
      <c r="E485" s="153">
        <f t="shared" ref="E485:F485" si="43">SUM(E478:E483)</f>
        <v>52861</v>
      </c>
      <c r="F485" s="154">
        <f t="shared" si="43"/>
        <v>52987</v>
      </c>
      <c r="G485" s="86">
        <f>SUM(G478:G484)</f>
        <v>52987</v>
      </c>
      <c r="H485" s="174">
        <f t="shared" si="42"/>
        <v>0</v>
      </c>
      <c r="I485" s="175">
        <f t="shared" si="41"/>
        <v>0</v>
      </c>
      <c r="J485" s="86">
        <f>SUM(J478:J484)</f>
        <v>52987</v>
      </c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</row>
    <row r="486" spans="1:23" s="4" customFormat="1">
      <c r="C486" s="47"/>
      <c r="E486" s="148"/>
      <c r="F486" s="150"/>
      <c r="G486" s="87"/>
      <c r="H486" s="107"/>
      <c r="I486" s="79"/>
      <c r="J486" s="87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</row>
    <row r="487" spans="1:23" s="4" customFormat="1">
      <c r="B487" s="6">
        <v>610</v>
      </c>
      <c r="C487" s="46" t="s">
        <v>150</v>
      </c>
      <c r="D487" s="6"/>
      <c r="E487" s="151"/>
      <c r="F487" s="152"/>
      <c r="G487" s="86"/>
      <c r="H487" s="174"/>
      <c r="I487" s="175"/>
      <c r="J487" s="86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</row>
    <row r="488" spans="1:23" s="4" customFormat="1">
      <c r="B488" s="4">
        <v>610</v>
      </c>
      <c r="C488" s="47">
        <v>5105115</v>
      </c>
      <c r="D488" s="4" t="s">
        <v>362</v>
      </c>
      <c r="E488" s="148">
        <v>53000</v>
      </c>
      <c r="F488" s="149">
        <v>54060</v>
      </c>
      <c r="G488" s="109">
        <v>55142</v>
      </c>
      <c r="H488" s="107">
        <f t="shared" si="42"/>
        <v>5.0016321497225347E-2</v>
      </c>
      <c r="I488" s="79">
        <f t="shared" si="41"/>
        <v>2758</v>
      </c>
      <c r="J488" s="109">
        <v>57900</v>
      </c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</row>
    <row r="489" spans="1:23" s="6" customFormat="1">
      <c r="A489" s="4"/>
      <c r="B489" s="4">
        <v>610</v>
      </c>
      <c r="C489" s="47">
        <v>5105111</v>
      </c>
      <c r="D489" s="4" t="s">
        <v>213</v>
      </c>
      <c r="E489" s="148">
        <v>750</v>
      </c>
      <c r="F489" s="149">
        <v>800</v>
      </c>
      <c r="G489" s="109">
        <v>850</v>
      </c>
      <c r="H489" s="107">
        <f t="shared" si="42"/>
        <v>5.8823529411764705E-2</v>
      </c>
      <c r="I489" s="79">
        <f t="shared" si="41"/>
        <v>50</v>
      </c>
      <c r="J489" s="109">
        <v>900</v>
      </c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</row>
    <row r="490" spans="1:23" s="4" customFormat="1">
      <c r="B490" s="4">
        <v>610</v>
      </c>
      <c r="C490" s="47"/>
      <c r="D490" s="4" t="s">
        <v>151</v>
      </c>
      <c r="E490" s="148">
        <v>0</v>
      </c>
      <c r="F490" s="149">
        <v>0</v>
      </c>
      <c r="G490" s="109"/>
      <c r="H490" s="107"/>
      <c r="I490" s="79">
        <f t="shared" si="41"/>
        <v>0</v>
      </c>
      <c r="J490" s="109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</row>
    <row r="491" spans="1:23" s="6" customFormat="1">
      <c r="A491" s="4"/>
      <c r="B491" s="4">
        <v>610</v>
      </c>
      <c r="C491" s="47">
        <v>5105110</v>
      </c>
      <c r="D491" s="4" t="s">
        <v>152</v>
      </c>
      <c r="E491" s="148">
        <v>58300</v>
      </c>
      <c r="F491" s="149">
        <v>59758</v>
      </c>
      <c r="G491" s="109">
        <f>59758+8000</f>
        <v>67758</v>
      </c>
      <c r="H491" s="107">
        <f t="shared" si="42"/>
        <v>6.3815342837746092E-2</v>
      </c>
      <c r="I491" s="79">
        <f t="shared" si="41"/>
        <v>4324</v>
      </c>
      <c r="J491" s="109">
        <v>72082</v>
      </c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</row>
    <row r="492" spans="1:23" s="4" customFormat="1">
      <c r="B492" s="4">
        <v>610</v>
      </c>
      <c r="C492" s="47">
        <v>5105110</v>
      </c>
      <c r="D492" s="4" t="s">
        <v>153</v>
      </c>
      <c r="E492" s="148">
        <v>2900</v>
      </c>
      <c r="F492" s="149">
        <v>3042</v>
      </c>
      <c r="G492" s="109">
        <v>3183</v>
      </c>
      <c r="H492" s="107">
        <f t="shared" si="42"/>
        <v>2.7332704995287466E-2</v>
      </c>
      <c r="I492" s="79">
        <f t="shared" si="41"/>
        <v>87</v>
      </c>
      <c r="J492" s="109">
        <v>3270</v>
      </c>
      <c r="K492" s="195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</row>
    <row r="493" spans="1:23" s="4" customFormat="1">
      <c r="B493" s="4">
        <v>610</v>
      </c>
      <c r="C493" s="47"/>
      <c r="D493" s="4" t="s">
        <v>15</v>
      </c>
      <c r="E493" s="148">
        <v>0</v>
      </c>
      <c r="F493" s="149">
        <v>0</v>
      </c>
      <c r="G493" s="109"/>
      <c r="H493" s="107"/>
      <c r="I493" s="79">
        <f t="shared" si="41"/>
        <v>0</v>
      </c>
      <c r="J493" s="109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</row>
    <row r="494" spans="1:23" s="4" customFormat="1">
      <c r="B494" s="4">
        <v>610</v>
      </c>
      <c r="C494" s="47"/>
      <c r="D494" s="4" t="s">
        <v>194</v>
      </c>
      <c r="E494" s="148">
        <v>0</v>
      </c>
      <c r="F494" s="149">
        <v>0</v>
      </c>
      <c r="G494" s="109"/>
      <c r="H494" s="107"/>
      <c r="I494" s="79">
        <f t="shared" si="41"/>
        <v>0</v>
      </c>
      <c r="J494" s="109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</row>
    <row r="495" spans="1:23" s="4" customFormat="1">
      <c r="B495" s="4">
        <v>610</v>
      </c>
      <c r="C495" s="47">
        <v>5705244</v>
      </c>
      <c r="D495" s="4" t="s">
        <v>63</v>
      </c>
      <c r="E495" s="148">
        <v>700</v>
      </c>
      <c r="F495" s="149">
        <v>700</v>
      </c>
      <c r="G495" s="109">
        <v>800</v>
      </c>
      <c r="H495" s="107">
        <f t="shared" si="42"/>
        <v>0.1875</v>
      </c>
      <c r="I495" s="79">
        <f t="shared" si="41"/>
        <v>150</v>
      </c>
      <c r="J495" s="109">
        <v>950</v>
      </c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</row>
    <row r="496" spans="1:23" s="4" customFormat="1">
      <c r="B496" s="4">
        <v>610</v>
      </c>
      <c r="C496" s="47">
        <v>5705242</v>
      </c>
      <c r="D496" s="4" t="s">
        <v>33</v>
      </c>
      <c r="E496" s="148">
        <v>1041</v>
      </c>
      <c r="F496" s="149">
        <v>1095</v>
      </c>
      <c r="G496" s="109">
        <v>1095</v>
      </c>
      <c r="H496" s="107">
        <f t="shared" si="42"/>
        <v>9.5890410958904104E-2</v>
      </c>
      <c r="I496" s="79">
        <f t="shared" si="41"/>
        <v>105</v>
      </c>
      <c r="J496" s="109">
        <v>1200</v>
      </c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</row>
    <row r="497" spans="1:23" s="4" customFormat="1">
      <c r="B497" s="4">
        <v>610</v>
      </c>
      <c r="C497" s="47">
        <v>5705255</v>
      </c>
      <c r="D497" s="4" t="s">
        <v>154</v>
      </c>
      <c r="E497" s="148">
        <v>1047</v>
      </c>
      <c r="F497" s="149">
        <v>1096</v>
      </c>
      <c r="G497" s="109">
        <v>1142</v>
      </c>
      <c r="H497" s="107">
        <f t="shared" si="42"/>
        <v>0</v>
      </c>
      <c r="I497" s="79">
        <f t="shared" si="41"/>
        <v>0</v>
      </c>
      <c r="J497" s="109">
        <v>1142</v>
      </c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</row>
    <row r="498" spans="1:23" s="4" customFormat="1">
      <c r="B498" s="4">
        <v>610</v>
      </c>
      <c r="C498" s="47"/>
      <c r="D498" s="4" t="s">
        <v>209</v>
      </c>
      <c r="E498" s="148">
        <v>0</v>
      </c>
      <c r="F498" s="149">
        <v>0</v>
      </c>
      <c r="G498" s="109"/>
      <c r="H498" s="107"/>
      <c r="I498" s="79">
        <f t="shared" si="41"/>
        <v>0</v>
      </c>
      <c r="J498" s="109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</row>
    <row r="499" spans="1:23" s="4" customFormat="1">
      <c r="B499" s="4">
        <v>610</v>
      </c>
      <c r="C499" s="47">
        <v>5705342</v>
      </c>
      <c r="D499" s="4" t="s">
        <v>18</v>
      </c>
      <c r="E499" s="148">
        <v>1420</v>
      </c>
      <c r="F499" s="149">
        <v>1450</v>
      </c>
      <c r="G499" s="109">
        <v>1450</v>
      </c>
      <c r="H499" s="107">
        <f t="shared" si="42"/>
        <v>0</v>
      </c>
      <c r="I499" s="79">
        <f t="shared" si="41"/>
        <v>0</v>
      </c>
      <c r="J499" s="109">
        <v>1450</v>
      </c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</row>
    <row r="500" spans="1:23" s="4" customFormat="1">
      <c r="B500" s="4">
        <v>610</v>
      </c>
      <c r="C500" s="47"/>
      <c r="D500" s="4" t="s">
        <v>19</v>
      </c>
      <c r="E500" s="148">
        <v>0</v>
      </c>
      <c r="F500" s="149">
        <v>0</v>
      </c>
      <c r="G500" s="109"/>
      <c r="H500" s="107"/>
      <c r="I500" s="79">
        <f t="shared" si="41"/>
        <v>0</v>
      </c>
      <c r="J500" s="109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</row>
    <row r="501" spans="1:23" s="4" customFormat="1">
      <c r="B501" s="4">
        <v>610</v>
      </c>
      <c r="C501" s="47">
        <v>5705716</v>
      </c>
      <c r="D501" s="4" t="s">
        <v>155</v>
      </c>
      <c r="E501" s="148">
        <v>1000</v>
      </c>
      <c r="F501" s="149">
        <v>0</v>
      </c>
      <c r="G501" s="109">
        <v>350</v>
      </c>
      <c r="H501" s="107">
        <f t="shared" si="42"/>
        <v>0</v>
      </c>
      <c r="I501" s="79">
        <f t="shared" si="41"/>
        <v>0</v>
      </c>
      <c r="J501" s="109">
        <v>350</v>
      </c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</row>
    <row r="502" spans="1:23" s="4" customFormat="1">
      <c r="B502" s="4">
        <v>610</v>
      </c>
      <c r="C502" s="47">
        <v>5705491</v>
      </c>
      <c r="D502" s="4" t="s">
        <v>156</v>
      </c>
      <c r="E502" s="148">
        <v>8630</v>
      </c>
      <c r="F502" s="149">
        <v>9040</v>
      </c>
      <c r="G502" s="109">
        <v>9040</v>
      </c>
      <c r="H502" s="107">
        <f t="shared" si="42"/>
        <v>2.3230088495575223E-2</v>
      </c>
      <c r="I502" s="79">
        <f t="shared" si="41"/>
        <v>210</v>
      </c>
      <c r="J502" s="109">
        <v>9250</v>
      </c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</row>
    <row r="503" spans="1:23" s="4" customFormat="1">
      <c r="B503" s="4">
        <v>610</v>
      </c>
      <c r="C503" s="47">
        <v>5705420</v>
      </c>
      <c r="D503" s="4" t="s">
        <v>6</v>
      </c>
      <c r="E503" s="148">
        <v>1254</v>
      </c>
      <c r="F503" s="149">
        <v>1279</v>
      </c>
      <c r="G503" s="109">
        <v>1420</v>
      </c>
      <c r="H503" s="107">
        <f t="shared" si="42"/>
        <v>7.0422535211267609E-2</v>
      </c>
      <c r="I503" s="79">
        <f t="shared" si="41"/>
        <v>100</v>
      </c>
      <c r="J503" s="109">
        <v>1520</v>
      </c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</row>
    <row r="504" spans="1:23" s="6" customFormat="1">
      <c r="A504" s="4"/>
      <c r="B504" s="4">
        <v>610</v>
      </c>
      <c r="C504" s="47"/>
      <c r="D504" s="4" t="s">
        <v>157</v>
      </c>
      <c r="E504" s="148">
        <v>0</v>
      </c>
      <c r="F504" s="149">
        <v>0</v>
      </c>
      <c r="G504" s="109"/>
      <c r="H504" s="107"/>
      <c r="I504" s="79">
        <f t="shared" si="41"/>
        <v>0</v>
      </c>
      <c r="J504" s="109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</row>
    <row r="505" spans="1:23" s="4" customFormat="1">
      <c r="B505" s="4">
        <v>610</v>
      </c>
      <c r="C505" s="47">
        <v>5705520</v>
      </c>
      <c r="D505" s="4" t="s">
        <v>158</v>
      </c>
      <c r="E505" s="148">
        <v>19697</v>
      </c>
      <c r="F505" s="149">
        <v>21000</v>
      </c>
      <c r="G505" s="109">
        <v>22500</v>
      </c>
      <c r="H505" s="107">
        <f t="shared" si="42"/>
        <v>-2.2222222222222223E-2</v>
      </c>
      <c r="I505" s="79">
        <f t="shared" si="41"/>
        <v>-500</v>
      </c>
      <c r="J505" s="109">
        <f>22000</f>
        <v>22000</v>
      </c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</row>
    <row r="506" spans="1:23" s="6" customFormat="1">
      <c r="A506" s="4"/>
      <c r="B506" s="4">
        <v>610</v>
      </c>
      <c r="C506" s="47">
        <v>5705711</v>
      </c>
      <c r="D506" s="4" t="s">
        <v>7</v>
      </c>
      <c r="E506" s="148">
        <v>220</v>
      </c>
      <c r="F506" s="149">
        <v>220</v>
      </c>
      <c r="G506" s="109">
        <v>220</v>
      </c>
      <c r="H506" s="107">
        <f t="shared" si="42"/>
        <v>0</v>
      </c>
      <c r="I506" s="79">
        <f t="shared" si="41"/>
        <v>0</v>
      </c>
      <c r="J506" s="109">
        <v>220</v>
      </c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</row>
    <row r="507" spans="1:23" s="4" customFormat="1">
      <c r="B507" s="4">
        <v>610</v>
      </c>
      <c r="C507" s="47" t="s">
        <v>374</v>
      </c>
      <c r="D507" s="4" t="s">
        <v>378</v>
      </c>
      <c r="E507" s="148">
        <v>1853</v>
      </c>
      <c r="F507" s="149">
        <v>1853</v>
      </c>
      <c r="G507" s="109">
        <v>2000</v>
      </c>
      <c r="H507" s="107">
        <f t="shared" si="42"/>
        <v>2.5000000000000001E-2</v>
      </c>
      <c r="I507" s="79">
        <f t="shared" si="41"/>
        <v>50</v>
      </c>
      <c r="J507" s="109">
        <v>2050</v>
      </c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</row>
    <row r="508" spans="1:23" s="4" customFormat="1">
      <c r="B508" s="4">
        <v>610</v>
      </c>
      <c r="C508" s="47"/>
      <c r="D508" s="4" t="s">
        <v>22</v>
      </c>
      <c r="E508" s="148">
        <v>0</v>
      </c>
      <c r="F508" s="149">
        <v>0</v>
      </c>
      <c r="G508" s="109"/>
      <c r="H508" s="107"/>
      <c r="I508" s="79">
        <f t="shared" si="41"/>
        <v>0</v>
      </c>
      <c r="J508" s="109"/>
      <c r="K508" s="206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</row>
    <row r="509" spans="1:23" s="4" customFormat="1">
      <c r="A509" t="s">
        <v>342</v>
      </c>
      <c r="B509" s="6" t="s">
        <v>2</v>
      </c>
      <c r="C509" s="46" t="s">
        <v>159</v>
      </c>
      <c r="D509" s="6"/>
      <c r="E509" s="153">
        <f>SUM(E488:E508)</f>
        <v>151812</v>
      </c>
      <c r="F509" s="154">
        <f>SUM(F488:F508)</f>
        <v>155393</v>
      </c>
      <c r="G509" s="110">
        <f>SUM(G488:G508)</f>
        <v>166950</v>
      </c>
      <c r="H509" s="174">
        <f t="shared" si="42"/>
        <v>4.3929320155735252E-2</v>
      </c>
      <c r="I509" s="175">
        <f t="shared" si="41"/>
        <v>7334</v>
      </c>
      <c r="J509" s="110">
        <f>SUM(J488:J508)</f>
        <v>174284</v>
      </c>
      <c r="K509" s="207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</row>
    <row r="510" spans="1:23" s="4" customFormat="1">
      <c r="C510" s="47"/>
      <c r="E510" s="148"/>
      <c r="F510" s="150"/>
      <c r="G510" s="87"/>
      <c r="H510" s="107"/>
      <c r="I510" s="79"/>
      <c r="J510" s="87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</row>
    <row r="511" spans="1:23" s="6" customFormat="1">
      <c r="A511" s="4"/>
      <c r="B511" s="6">
        <v>691</v>
      </c>
      <c r="C511" s="46" t="s">
        <v>160</v>
      </c>
      <c r="E511" s="151"/>
      <c r="F511" s="152"/>
      <c r="G511" s="86"/>
      <c r="H511" s="174"/>
      <c r="I511" s="175"/>
      <c r="J511" s="86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</row>
    <row r="512" spans="1:23" s="4" customFormat="1">
      <c r="B512" s="4">
        <v>691</v>
      </c>
      <c r="C512" s="47">
        <v>0</v>
      </c>
      <c r="D512" s="4" t="s">
        <v>62</v>
      </c>
      <c r="E512" s="148"/>
      <c r="F512" s="150"/>
      <c r="G512" s="87">
        <v>0</v>
      </c>
      <c r="H512" s="107"/>
      <c r="I512" s="79">
        <f t="shared" si="41"/>
        <v>0</v>
      </c>
      <c r="J512" s="87">
        <v>0</v>
      </c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</row>
    <row r="513" spans="1:23" s="4" customFormat="1">
      <c r="B513" s="4">
        <v>691</v>
      </c>
      <c r="C513" s="47">
        <v>0</v>
      </c>
      <c r="D513" s="4" t="s">
        <v>63</v>
      </c>
      <c r="E513" s="148"/>
      <c r="F513" s="150"/>
      <c r="G513" s="87"/>
      <c r="H513" s="107"/>
      <c r="I513" s="79">
        <f t="shared" si="41"/>
        <v>0</v>
      </c>
      <c r="J513" s="87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</row>
    <row r="514" spans="1:23" s="4" customFormat="1">
      <c r="B514" s="4">
        <v>691</v>
      </c>
      <c r="C514" s="47">
        <v>0</v>
      </c>
      <c r="D514" s="4" t="s">
        <v>161</v>
      </c>
      <c r="E514" s="148"/>
      <c r="F514" s="150"/>
      <c r="G514" s="87"/>
      <c r="H514" s="107"/>
      <c r="I514" s="79">
        <f t="shared" si="41"/>
        <v>0</v>
      </c>
      <c r="J514" s="87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</row>
    <row r="515" spans="1:23" s="4" customFormat="1">
      <c r="B515" s="4">
        <v>691</v>
      </c>
      <c r="C515" s="47">
        <v>0</v>
      </c>
      <c r="D515" s="4" t="s">
        <v>19</v>
      </c>
      <c r="E515" s="148"/>
      <c r="F515" s="150"/>
      <c r="G515" s="87"/>
      <c r="H515" s="107"/>
      <c r="I515" s="79">
        <f t="shared" si="41"/>
        <v>0</v>
      </c>
      <c r="J515" s="87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</row>
    <row r="516" spans="1:23" s="6" customFormat="1">
      <c r="A516" s="4"/>
      <c r="B516" s="4">
        <v>691</v>
      </c>
      <c r="C516" s="47">
        <v>5705700</v>
      </c>
      <c r="D516" s="4" t="s">
        <v>6</v>
      </c>
      <c r="E516" s="148">
        <v>100</v>
      </c>
      <c r="F516" s="149">
        <v>100</v>
      </c>
      <c r="G516" s="109">
        <v>200</v>
      </c>
      <c r="H516" s="107">
        <f t="shared" si="42"/>
        <v>0</v>
      </c>
      <c r="I516" s="79">
        <f t="shared" si="41"/>
        <v>0</v>
      </c>
      <c r="J516" s="109">
        <v>200</v>
      </c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</row>
    <row r="517" spans="1:23" s="4" customFormat="1">
      <c r="B517" s="4">
        <v>691</v>
      </c>
      <c r="C517" s="47"/>
      <c r="D517" s="4" t="s">
        <v>40</v>
      </c>
      <c r="E517" s="148"/>
      <c r="F517" s="150"/>
      <c r="G517" s="87"/>
      <c r="H517" s="107"/>
      <c r="I517" s="79">
        <f t="shared" si="41"/>
        <v>0</v>
      </c>
      <c r="J517" s="87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</row>
    <row r="518" spans="1:23" s="6" customFormat="1">
      <c r="A518" s="4"/>
      <c r="B518" s="4">
        <v>691</v>
      </c>
      <c r="C518" s="47"/>
      <c r="D518" s="4" t="s">
        <v>7</v>
      </c>
      <c r="E518" s="148"/>
      <c r="F518" s="150"/>
      <c r="G518" s="87"/>
      <c r="H518" s="107"/>
      <c r="I518" s="79">
        <f t="shared" si="41"/>
        <v>0</v>
      </c>
      <c r="J518" s="87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</row>
    <row r="519" spans="1:23" s="4" customFormat="1">
      <c r="B519" s="4">
        <v>691</v>
      </c>
      <c r="C519" s="47"/>
      <c r="D519" s="4" t="s">
        <v>8</v>
      </c>
      <c r="E519" s="148"/>
      <c r="F519" s="150"/>
      <c r="G519" s="87"/>
      <c r="H519" s="107"/>
      <c r="I519" s="79">
        <f t="shared" si="41"/>
        <v>0</v>
      </c>
      <c r="J519" s="87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</row>
    <row r="520" spans="1:23" s="4" customFormat="1">
      <c r="C520" s="47"/>
      <c r="E520" s="148"/>
      <c r="F520" s="150"/>
      <c r="G520" s="87"/>
      <c r="H520" s="107"/>
      <c r="I520" s="79">
        <f t="shared" si="41"/>
        <v>0</v>
      </c>
      <c r="J520" s="87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</row>
    <row r="521" spans="1:23" s="4" customFormat="1">
      <c r="A521" t="s">
        <v>342</v>
      </c>
      <c r="B521" s="6" t="s">
        <v>2</v>
      </c>
      <c r="C521" s="46" t="s">
        <v>162</v>
      </c>
      <c r="D521" s="6"/>
      <c r="E521" s="153">
        <f t="shared" ref="E521:F521" si="44">SUM(E516)</f>
        <v>100</v>
      </c>
      <c r="F521" s="154">
        <f t="shared" si="44"/>
        <v>100</v>
      </c>
      <c r="G521" s="86">
        <f>SUM(G512:G520)</f>
        <v>200</v>
      </c>
      <c r="H521" s="174">
        <f t="shared" si="42"/>
        <v>0</v>
      </c>
      <c r="I521" s="175">
        <f t="shared" si="41"/>
        <v>0</v>
      </c>
      <c r="J521" s="86">
        <f>SUM(J512:J520)</f>
        <v>200</v>
      </c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</row>
    <row r="522" spans="1:23" s="4" customFormat="1">
      <c r="C522" s="47"/>
      <c r="E522" s="148"/>
      <c r="F522" s="150"/>
      <c r="G522" s="87"/>
      <c r="H522" s="107"/>
      <c r="I522" s="79"/>
      <c r="J522" s="87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</row>
    <row r="523" spans="1:23" s="6" customFormat="1">
      <c r="A523" s="4"/>
      <c r="B523" s="6">
        <v>692</v>
      </c>
      <c r="C523" s="46" t="s">
        <v>163</v>
      </c>
      <c r="E523" s="151"/>
      <c r="F523" s="152"/>
      <c r="G523" s="86"/>
      <c r="H523" s="174"/>
      <c r="I523" s="175"/>
      <c r="J523" s="86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</row>
    <row r="524" spans="1:23" s="4" customFormat="1">
      <c r="B524" s="4">
        <v>692</v>
      </c>
      <c r="C524" s="47"/>
      <c r="D524" s="4" t="s">
        <v>164</v>
      </c>
      <c r="E524" s="148"/>
      <c r="F524" s="150"/>
      <c r="G524" s="87">
        <v>0</v>
      </c>
      <c r="H524" s="107"/>
      <c r="I524" s="79">
        <f t="shared" si="41"/>
        <v>0</v>
      </c>
      <c r="J524" s="87">
        <v>0</v>
      </c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</row>
    <row r="525" spans="1:23" s="4" customFormat="1">
      <c r="B525" s="4">
        <v>692</v>
      </c>
      <c r="C525" s="47"/>
      <c r="D525" s="4" t="s">
        <v>165</v>
      </c>
      <c r="E525" s="148"/>
      <c r="F525" s="150"/>
      <c r="G525" s="87"/>
      <c r="H525" s="107"/>
      <c r="I525" s="79">
        <f t="shared" ref="I525:I547" si="45">J525-G525</f>
        <v>0</v>
      </c>
      <c r="J525" s="87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</row>
    <row r="526" spans="1:23" s="4" customFormat="1">
      <c r="B526" s="4">
        <v>692</v>
      </c>
      <c r="C526" s="47"/>
      <c r="D526" s="4" t="s">
        <v>166</v>
      </c>
      <c r="E526" s="148"/>
      <c r="F526" s="150"/>
      <c r="G526" s="87"/>
      <c r="H526" s="107"/>
      <c r="I526" s="79">
        <f t="shared" si="45"/>
        <v>0</v>
      </c>
      <c r="J526" s="87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</row>
    <row r="527" spans="1:23" s="6" customFormat="1">
      <c r="A527" s="4"/>
      <c r="B527" s="4">
        <v>692</v>
      </c>
      <c r="C527" s="47">
        <v>5705700</v>
      </c>
      <c r="D527" s="4" t="s">
        <v>167</v>
      </c>
      <c r="E527" s="148">
        <v>1000</v>
      </c>
      <c r="F527" s="149">
        <v>1000</v>
      </c>
      <c r="G527" s="109">
        <v>1500</v>
      </c>
      <c r="H527" s="107">
        <f t="shared" ref="H527:H547" si="46">(J527-G527)/G527</f>
        <v>0</v>
      </c>
      <c r="I527" s="79">
        <f t="shared" si="45"/>
        <v>0</v>
      </c>
      <c r="J527" s="109">
        <v>1500</v>
      </c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</row>
    <row r="528" spans="1:23" s="4" customFormat="1">
      <c r="B528" s="4">
        <v>692</v>
      </c>
      <c r="C528" s="47"/>
      <c r="E528" s="148"/>
      <c r="F528" s="150"/>
      <c r="G528" s="87"/>
      <c r="H528" s="107"/>
      <c r="I528" s="79">
        <f t="shared" si="45"/>
        <v>0</v>
      </c>
      <c r="J528" s="87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</row>
    <row r="529" spans="1:12">
      <c r="A529" t="s">
        <v>342</v>
      </c>
      <c r="B529" s="6" t="s">
        <v>2</v>
      </c>
      <c r="C529" s="46" t="s">
        <v>168</v>
      </c>
      <c r="D529" s="6"/>
      <c r="E529" s="153">
        <f t="shared" ref="E529:F529" si="47">SUM(E527:E528)</f>
        <v>1000</v>
      </c>
      <c r="F529" s="154">
        <f t="shared" si="47"/>
        <v>1000</v>
      </c>
      <c r="G529" s="86">
        <f>SUM(G524:G528)</f>
        <v>1500</v>
      </c>
      <c r="H529" s="174">
        <f t="shared" si="46"/>
        <v>0</v>
      </c>
      <c r="I529" s="175">
        <f t="shared" si="45"/>
        <v>0</v>
      </c>
      <c r="J529" s="86">
        <f>SUM(J524:J528)</f>
        <v>1500</v>
      </c>
      <c r="K529" s="4"/>
    </row>
    <row r="530" spans="1:12">
      <c r="B530" s="4"/>
      <c r="C530" s="47"/>
      <c r="D530" s="4"/>
      <c r="E530" s="148"/>
      <c r="F530" s="150"/>
      <c r="G530" s="87"/>
      <c r="H530" s="107"/>
      <c r="I530" s="79"/>
      <c r="J530" s="87"/>
      <c r="K530" s="4"/>
    </row>
    <row r="531" spans="1:12">
      <c r="B531" s="6">
        <v>711</v>
      </c>
      <c r="C531" s="46" t="s">
        <v>169</v>
      </c>
      <c r="D531" s="6"/>
      <c r="E531" s="151"/>
      <c r="F531" s="152"/>
      <c r="G531" s="86"/>
      <c r="H531" s="174"/>
      <c r="I531" s="175"/>
      <c r="J531" s="86"/>
      <c r="K531" s="4"/>
    </row>
    <row r="532" spans="1:12">
      <c r="A532" t="s">
        <v>350</v>
      </c>
      <c r="B532" s="4">
        <v>711</v>
      </c>
      <c r="C532" s="47">
        <v>5905904</v>
      </c>
      <c r="D532" s="4" t="s">
        <v>329</v>
      </c>
      <c r="E532" s="148">
        <v>160000</v>
      </c>
      <c r="F532" s="149">
        <v>160000</v>
      </c>
      <c r="G532" s="87">
        <v>165000</v>
      </c>
      <c r="H532" s="107">
        <f t="shared" si="46"/>
        <v>3.0303030303030304E-2</v>
      </c>
      <c r="I532" s="79">
        <f t="shared" si="45"/>
        <v>5000</v>
      </c>
      <c r="J532" s="87">
        <v>170000</v>
      </c>
      <c r="K532" s="4"/>
    </row>
    <row r="533" spans="1:12">
      <c r="A533" t="s">
        <v>349</v>
      </c>
      <c r="B533" s="4">
        <v>711</v>
      </c>
      <c r="C533" s="47">
        <v>5905918</v>
      </c>
      <c r="D533" s="4" t="s">
        <v>332</v>
      </c>
      <c r="E533" s="148">
        <v>358581</v>
      </c>
      <c r="F533" s="149">
        <v>370668</v>
      </c>
      <c r="G533" s="109">
        <v>367098</v>
      </c>
      <c r="H533" s="107">
        <f t="shared" si="46"/>
        <v>-3.3952786449394985E-2</v>
      </c>
      <c r="I533" s="79">
        <f t="shared" si="45"/>
        <v>-12464</v>
      </c>
      <c r="J533" s="109">
        <v>354634</v>
      </c>
      <c r="K533" s="4"/>
    </row>
    <row r="534" spans="1:12">
      <c r="B534" s="4"/>
      <c r="C534" s="4"/>
      <c r="D534" s="4" t="s">
        <v>434</v>
      </c>
      <c r="E534" s="130"/>
      <c r="F534" s="130"/>
      <c r="G534" s="146">
        <v>181000</v>
      </c>
      <c r="H534" s="107">
        <f t="shared" si="46"/>
        <v>-0.88710497237569064</v>
      </c>
      <c r="I534" s="79">
        <f t="shared" si="45"/>
        <v>-160566</v>
      </c>
      <c r="J534" s="146">
        <v>20434</v>
      </c>
      <c r="K534" s="4"/>
    </row>
    <row r="535" spans="1:12">
      <c r="B535" s="4">
        <v>711</v>
      </c>
      <c r="C535" s="47"/>
      <c r="D535" s="4" t="s">
        <v>430</v>
      </c>
      <c r="E535" s="148"/>
      <c r="F535" s="150"/>
      <c r="G535" s="87">
        <v>250000</v>
      </c>
      <c r="H535" s="107">
        <f t="shared" si="46"/>
        <v>0</v>
      </c>
      <c r="I535" s="79">
        <f t="shared" si="45"/>
        <v>0</v>
      </c>
      <c r="J535" s="87">
        <v>250000</v>
      </c>
      <c r="K535" s="4"/>
    </row>
    <row r="536" spans="1:12">
      <c r="B536" s="6" t="s">
        <v>2</v>
      </c>
      <c r="C536" s="46" t="s">
        <v>170</v>
      </c>
      <c r="D536" s="6"/>
      <c r="E536" s="153">
        <f>SUM(E532:E533)</f>
        <v>518581</v>
      </c>
      <c r="F536" s="154">
        <f>SUM(F532:F533)</f>
        <v>530668</v>
      </c>
      <c r="G536" s="86">
        <f>SUM(G532:G535)</f>
        <v>963098</v>
      </c>
      <c r="H536" s="174">
        <f t="shared" si="46"/>
        <v>-0.17446822649408472</v>
      </c>
      <c r="I536" s="175">
        <f t="shared" si="45"/>
        <v>-168030</v>
      </c>
      <c r="J536" s="86">
        <f>SUM(J532:J535)</f>
        <v>795068</v>
      </c>
      <c r="K536" s="4"/>
    </row>
    <row r="537" spans="1:12">
      <c r="B537" s="4"/>
      <c r="C537" s="47"/>
      <c r="D537" s="4"/>
      <c r="E537" s="148"/>
      <c r="F537" s="150"/>
      <c r="G537" s="87"/>
      <c r="H537" s="107"/>
      <c r="I537" s="79"/>
      <c r="J537" s="87"/>
      <c r="K537" s="4"/>
    </row>
    <row r="538" spans="1:12">
      <c r="B538" s="6">
        <v>711</v>
      </c>
      <c r="C538" s="46" t="s">
        <v>171</v>
      </c>
      <c r="D538" s="6"/>
      <c r="E538" s="151"/>
      <c r="F538" s="152"/>
      <c r="G538" s="86"/>
      <c r="H538" s="174"/>
      <c r="I538" s="175"/>
      <c r="J538" s="86"/>
      <c r="K538" s="4"/>
    </row>
    <row r="539" spans="1:12">
      <c r="A539" t="s">
        <v>350</v>
      </c>
      <c r="B539" s="4">
        <v>711</v>
      </c>
      <c r="C539" s="47">
        <v>5705901</v>
      </c>
      <c r="D539" s="4" t="s">
        <v>330</v>
      </c>
      <c r="E539" s="148">
        <v>84150</v>
      </c>
      <c r="F539" s="149">
        <v>39675</v>
      </c>
      <c r="G539" s="87">
        <v>37275</v>
      </c>
      <c r="H539" s="107">
        <f t="shared" si="46"/>
        <v>0.86720321931589539</v>
      </c>
      <c r="I539" s="79">
        <f t="shared" si="45"/>
        <v>32325</v>
      </c>
      <c r="J539" s="87">
        <f>(34800*2)</f>
        <v>69600</v>
      </c>
      <c r="K539" s="4"/>
    </row>
    <row r="540" spans="1:12">
      <c r="A540" t="s">
        <v>349</v>
      </c>
      <c r="B540" s="4">
        <v>711</v>
      </c>
      <c r="C540" s="47">
        <v>5705919</v>
      </c>
      <c r="D540" s="4" t="s">
        <v>332</v>
      </c>
      <c r="E540" s="148">
        <v>223414</v>
      </c>
      <c r="F540" s="149">
        <v>211294</v>
      </c>
      <c r="G540" s="87">
        <v>191314</v>
      </c>
      <c r="H540" s="107">
        <f t="shared" si="46"/>
        <v>-0.11357767858076252</v>
      </c>
      <c r="I540" s="79">
        <f t="shared" si="45"/>
        <v>-21729</v>
      </c>
      <c r="J540" s="87">
        <v>169585</v>
      </c>
      <c r="K540" s="4"/>
      <c r="L540" s="119"/>
    </row>
    <row r="541" spans="1:12">
      <c r="B541" s="4"/>
      <c r="C541" s="47"/>
      <c r="D541" s="4" t="s">
        <v>434</v>
      </c>
      <c r="E541" s="148"/>
      <c r="F541" s="149"/>
      <c r="G541" s="109">
        <v>27742</v>
      </c>
      <c r="H541" s="107">
        <f t="shared" si="46"/>
        <v>6.9067118448561748</v>
      </c>
      <c r="I541" s="79">
        <f t="shared" si="45"/>
        <v>191606</v>
      </c>
      <c r="J541" s="133">
        <v>219348</v>
      </c>
      <c r="K541" s="182"/>
    </row>
    <row r="542" spans="1:12">
      <c r="B542" s="4">
        <v>711</v>
      </c>
      <c r="C542" s="47"/>
      <c r="D542" s="4" t="s">
        <v>430</v>
      </c>
      <c r="E542" s="148"/>
      <c r="F542" s="150"/>
      <c r="G542" s="87">
        <f>14963+9975</f>
        <v>24938</v>
      </c>
      <c r="H542" s="107">
        <f t="shared" si="46"/>
        <v>-0.40001202983398831</v>
      </c>
      <c r="I542" s="79">
        <f t="shared" si="45"/>
        <v>-9975.5</v>
      </c>
      <c r="J542" s="87">
        <f>9975+4987.5</f>
        <v>14962.5</v>
      </c>
      <c r="K542" s="4"/>
    </row>
    <row r="543" spans="1:12">
      <c r="B543" s="6" t="s">
        <v>2</v>
      </c>
      <c r="C543" s="46" t="s">
        <v>172</v>
      </c>
      <c r="D543" s="6"/>
      <c r="E543" s="153">
        <f>SUM(E539:E540)</f>
        <v>307564</v>
      </c>
      <c r="F543" s="154">
        <f>SUM(F539:F540)</f>
        <v>250969</v>
      </c>
      <c r="G543" s="86">
        <f>SUM(G539:G542)</f>
        <v>281269</v>
      </c>
      <c r="H543" s="174">
        <f t="shared" si="46"/>
        <v>0.68342583078832009</v>
      </c>
      <c r="I543" s="175">
        <f t="shared" si="45"/>
        <v>192226.5</v>
      </c>
      <c r="J543" s="86">
        <f>SUM(J539:J542)</f>
        <v>473495.5</v>
      </c>
      <c r="K543" s="189"/>
    </row>
    <row r="544" spans="1:12">
      <c r="B544" s="4"/>
      <c r="C544" s="47"/>
      <c r="D544" s="4"/>
      <c r="E544" s="148"/>
      <c r="F544" s="150"/>
      <c r="G544" s="10"/>
      <c r="H544" s="107"/>
      <c r="I544" s="79">
        <f t="shared" si="45"/>
        <v>0</v>
      </c>
      <c r="J544" s="10"/>
      <c r="K544" s="130"/>
    </row>
    <row r="545" spans="2:11">
      <c r="B545" s="4"/>
      <c r="C545" s="47"/>
      <c r="D545" s="4"/>
      <c r="E545" s="148"/>
      <c r="F545" s="150"/>
      <c r="G545" s="10"/>
      <c r="H545" s="107"/>
      <c r="I545" s="79">
        <f t="shared" si="45"/>
        <v>0</v>
      </c>
      <c r="J545" s="10"/>
      <c r="K545" s="130"/>
    </row>
    <row r="546" spans="2:11">
      <c r="B546" s="4"/>
      <c r="C546" s="47"/>
      <c r="D546" s="4"/>
      <c r="E546" s="148"/>
      <c r="F546" s="150"/>
      <c r="G546" s="10"/>
      <c r="H546" s="107"/>
      <c r="I546" s="79">
        <f t="shared" si="45"/>
        <v>0</v>
      </c>
      <c r="J546" s="10"/>
    </row>
    <row r="547" spans="2:11">
      <c r="B547" s="92" t="s">
        <v>173</v>
      </c>
      <c r="C547" s="48" t="s">
        <v>173</v>
      </c>
      <c r="D547" s="7"/>
      <c r="E547" s="162">
        <f>+E543+E536+E529+E521+E509+E485+E475+E460+E454+E444+E439+E433+E394+E379+E370+E362+E348+E328+E311+E286+E262+E217+E211+E205+E200+E195+E189+E165+E154+E149+E136+E121+E106+E100+E89+E76+E56+E42+E33+E19+E13</f>
        <v>20974001</v>
      </c>
      <c r="F547" s="163">
        <f>+F543+F536+F529+F521+F509+F485+F475+F460+F454+F444+F439+F433+F394+F379+F370+F362+F348+F328+F311+F286+F262+F217+F211+F205+F200+F195+F189+F165+F154+F149+F136+F121+F106+F100+F89+F76+F56+F42+F33+F19+F13</f>
        <v>21271285</v>
      </c>
      <c r="G547" s="8">
        <f>SUM(G13+G19+G33+G42+G56+G76+G89+G100+G106+G121+G136+G149+G154+G165+G189+G195+G200+G205+G211+G217+G262+G286+G311+G328+G348+G362+G370+G379+G394+G433+G439+G444+G454+G460+G475+G485+G509+G521+G529+G536+G543)</f>
        <v>22877197.509999998</v>
      </c>
      <c r="H547" s="174">
        <f t="shared" si="46"/>
        <v>3.8794127650996657E-2</v>
      </c>
      <c r="I547" s="175">
        <f t="shared" si="45"/>
        <v>887500.9205000028</v>
      </c>
      <c r="J547" s="8">
        <f>SUM(J13+J19+J33+J42+J56+J76+J89+J100+J106+J121+J136+J149+J154+J165+J189+J195+J200+J205+J211+J217+J262+J286+J311+J328+J348+J362+J370+J379+J394+J433+J439+J444+J454+J460+J475+J485+J509+J521+J529+J536+J543)</f>
        <v>23764698.430500001</v>
      </c>
      <c r="K547" s="4"/>
    </row>
    <row r="548" spans="2:11" ht="15.75" thickBot="1">
      <c r="B548" s="4"/>
      <c r="C548" s="47"/>
      <c r="D548" s="4"/>
      <c r="E548" s="103"/>
      <c r="F548" s="81"/>
      <c r="G548" s="169"/>
      <c r="H548" s="77"/>
      <c r="I548" s="79"/>
      <c r="J548" s="11"/>
    </row>
    <row r="549" spans="2:11">
      <c r="E549" s="95"/>
      <c r="F549" s="83"/>
      <c r="G549" s="83"/>
      <c r="H549" s="2"/>
      <c r="J549" s="2"/>
    </row>
    <row r="550" spans="2:11">
      <c r="E550" s="95"/>
      <c r="F550" s="83"/>
      <c r="G550" s="83"/>
      <c r="H550" s="2"/>
      <c r="J550" s="72"/>
    </row>
    <row r="551" spans="2:11">
      <c r="E551" s="95"/>
      <c r="F551" s="83"/>
      <c r="G551" s="83"/>
      <c r="H551" s="2"/>
      <c r="J551" s="2"/>
    </row>
    <row r="552" spans="2:11">
      <c r="E552" s="95"/>
      <c r="F552" s="83"/>
      <c r="G552" s="83"/>
      <c r="H552" s="2"/>
      <c r="J552" s="2"/>
    </row>
    <row r="553" spans="2:11">
      <c r="E553" s="95"/>
      <c r="F553" s="83"/>
      <c r="G553" s="83"/>
      <c r="H553" s="2"/>
      <c r="J553" s="2"/>
    </row>
    <row r="554" spans="2:11">
      <c r="E554" s="83"/>
      <c r="F554" s="83"/>
      <c r="G554" s="83"/>
      <c r="H554" s="2"/>
      <c r="J554" s="2"/>
    </row>
    <row r="555" spans="2:11">
      <c r="E555" s="83"/>
      <c r="F555" s="83"/>
      <c r="G555" s="83"/>
      <c r="H555" s="2"/>
      <c r="J555" s="2"/>
    </row>
    <row r="556" spans="2:11">
      <c r="E556" s="83"/>
      <c r="F556" s="83"/>
      <c r="G556" s="83"/>
      <c r="H556" s="2"/>
      <c r="J556" s="2"/>
    </row>
    <row r="557" spans="2:11">
      <c r="E557" s="83"/>
      <c r="F557" s="83"/>
      <c r="G557" s="83"/>
      <c r="H557" s="2"/>
      <c r="J557" s="2"/>
    </row>
    <row r="558" spans="2:11">
      <c r="E558" s="83"/>
      <c r="F558" s="83"/>
      <c r="G558" s="83"/>
      <c r="H558" s="2"/>
      <c r="J558" s="2"/>
    </row>
    <row r="559" spans="2:11">
      <c r="E559" s="83"/>
      <c r="F559" s="83"/>
      <c r="G559" s="83"/>
      <c r="H559" s="2"/>
      <c r="J559" s="2"/>
    </row>
    <row r="560" spans="2:11">
      <c r="E560" s="83"/>
      <c r="F560" s="83"/>
      <c r="G560" s="83"/>
      <c r="H560" s="2"/>
      <c r="J560" s="2"/>
    </row>
    <row r="561" spans="5:10">
      <c r="E561" s="83"/>
      <c r="F561" s="83"/>
      <c r="G561" s="83"/>
      <c r="H561" s="2"/>
      <c r="J561" s="2"/>
    </row>
    <row r="562" spans="5:10">
      <c r="E562" s="83"/>
      <c r="F562" s="83"/>
      <c r="G562" s="83"/>
      <c r="H562" s="2"/>
      <c r="J562" s="2"/>
    </row>
    <row r="563" spans="5:10">
      <c r="E563" s="83"/>
      <c r="F563" s="83"/>
      <c r="G563" s="83"/>
      <c r="H563" s="2"/>
      <c r="J563" s="2"/>
    </row>
    <row r="564" spans="5:10">
      <c r="E564" s="83"/>
      <c r="F564" s="83"/>
      <c r="G564" s="83"/>
      <c r="H564" s="2"/>
      <c r="J564" s="2"/>
    </row>
    <row r="565" spans="5:10">
      <c r="E565" s="83"/>
      <c r="F565" s="83"/>
      <c r="G565" s="83"/>
      <c r="H565" s="2"/>
      <c r="J565" s="2"/>
    </row>
    <row r="566" spans="5:10">
      <c r="E566" s="83"/>
      <c r="F566" s="83"/>
      <c r="G566" s="83"/>
      <c r="H566" s="2"/>
      <c r="J566" s="2"/>
    </row>
    <row r="567" spans="5:10">
      <c r="E567" s="83"/>
      <c r="F567" s="83"/>
      <c r="G567" s="83"/>
      <c r="H567" s="2"/>
      <c r="J567" s="2"/>
    </row>
    <row r="568" spans="5:10">
      <c r="E568" s="83"/>
      <c r="F568" s="83"/>
      <c r="G568" s="83"/>
      <c r="H568" s="2"/>
      <c r="J568" s="2"/>
    </row>
    <row r="569" spans="5:10">
      <c r="E569" s="83"/>
      <c r="F569" s="83"/>
      <c r="G569" s="83"/>
      <c r="H569" s="2"/>
      <c r="J569" s="2"/>
    </row>
    <row r="570" spans="5:10">
      <c r="E570" s="83"/>
      <c r="F570" s="83"/>
      <c r="G570" s="83"/>
      <c r="H570" s="2"/>
      <c r="J570" s="2"/>
    </row>
    <row r="571" spans="5:10">
      <c r="E571" s="83"/>
      <c r="F571" s="83"/>
      <c r="G571" s="83"/>
      <c r="H571" s="2"/>
      <c r="J571" s="2"/>
    </row>
    <row r="572" spans="5:10">
      <c r="E572" s="83"/>
      <c r="F572" s="83"/>
      <c r="G572" s="83"/>
      <c r="H572" s="2"/>
      <c r="J572" s="2"/>
    </row>
    <row r="573" spans="5:10">
      <c r="E573" s="83"/>
      <c r="F573" s="83"/>
      <c r="G573" s="83"/>
      <c r="H573" s="2"/>
      <c r="J573" s="2"/>
    </row>
    <row r="574" spans="5:10">
      <c r="E574" s="83"/>
      <c r="F574" s="83"/>
      <c r="G574" s="83"/>
      <c r="H574" s="2"/>
      <c r="J574" s="2"/>
    </row>
    <row r="575" spans="5:10">
      <c r="E575" s="95"/>
      <c r="F575" s="83"/>
      <c r="G575" s="83"/>
      <c r="H575" s="2"/>
      <c r="J575" s="2"/>
    </row>
    <row r="576" spans="5:10">
      <c r="E576" s="95"/>
      <c r="F576" s="83"/>
      <c r="G576" s="83"/>
      <c r="H576" s="2"/>
      <c r="J576" s="2"/>
    </row>
    <row r="577" spans="5:10">
      <c r="E577" s="95"/>
      <c r="F577" s="83"/>
      <c r="G577" s="83"/>
      <c r="H577" s="2"/>
      <c r="J577" s="2"/>
    </row>
    <row r="578" spans="5:10">
      <c r="E578" s="95"/>
      <c r="F578" s="83"/>
      <c r="G578" s="83"/>
      <c r="H578" s="2"/>
      <c r="J578" s="2"/>
    </row>
    <row r="579" spans="5:10">
      <c r="E579" s="95"/>
      <c r="F579" s="83"/>
      <c r="G579" s="83"/>
      <c r="H579" s="2"/>
      <c r="J579" s="2"/>
    </row>
    <row r="580" spans="5:10">
      <c r="E580" s="95"/>
      <c r="F580" s="83"/>
      <c r="G580" s="83"/>
      <c r="H580" s="2"/>
      <c r="J580" s="2"/>
    </row>
    <row r="581" spans="5:10">
      <c r="E581" s="95"/>
      <c r="F581" s="83"/>
      <c r="G581" s="83"/>
      <c r="H581" s="2"/>
      <c r="J581" s="2"/>
    </row>
    <row r="582" spans="5:10">
      <c r="E582" s="95"/>
      <c r="F582" s="83"/>
      <c r="G582" s="83"/>
      <c r="H582" s="2"/>
      <c r="J582" s="2"/>
    </row>
    <row r="583" spans="5:10">
      <c r="E583" s="95"/>
      <c r="F583" s="83"/>
      <c r="G583" s="83"/>
      <c r="H583" s="2"/>
      <c r="J583" s="2"/>
    </row>
    <row r="584" spans="5:10">
      <c r="E584" s="95"/>
      <c r="F584" s="83"/>
      <c r="G584" s="83"/>
      <c r="H584" s="2"/>
      <c r="J584" s="2"/>
    </row>
    <row r="585" spans="5:10">
      <c r="E585" s="95"/>
      <c r="F585" s="83"/>
      <c r="G585" s="83"/>
      <c r="H585" s="2"/>
      <c r="J585" s="2"/>
    </row>
    <row r="586" spans="5:10">
      <c r="E586" s="95"/>
      <c r="F586" s="83"/>
      <c r="G586" s="83"/>
      <c r="H586" s="2"/>
      <c r="J586" s="2"/>
    </row>
    <row r="587" spans="5:10">
      <c r="E587" s="95"/>
      <c r="F587" s="83"/>
      <c r="G587" s="83"/>
      <c r="H587" s="2"/>
      <c r="J587" s="2"/>
    </row>
    <row r="588" spans="5:10">
      <c r="E588" s="95"/>
      <c r="F588" s="83"/>
      <c r="G588" s="83"/>
      <c r="H588" s="2"/>
      <c r="J588" s="2"/>
    </row>
    <row r="589" spans="5:10">
      <c r="E589" s="95"/>
      <c r="F589" s="83"/>
      <c r="G589" s="83"/>
      <c r="H589" s="2"/>
      <c r="J589" s="2"/>
    </row>
    <row r="590" spans="5:10">
      <c r="E590" s="95"/>
      <c r="F590" s="83"/>
      <c r="G590" s="83"/>
      <c r="H590" s="2"/>
      <c r="J590" s="2"/>
    </row>
    <row r="591" spans="5:10">
      <c r="E591" s="95"/>
      <c r="F591" s="83"/>
      <c r="G591" s="83"/>
      <c r="H591" s="2"/>
      <c r="J591" s="2"/>
    </row>
    <row r="592" spans="5:10">
      <c r="E592" s="95"/>
      <c r="F592" s="83"/>
      <c r="G592" s="83"/>
      <c r="H592" s="2"/>
      <c r="J592" s="2"/>
    </row>
    <row r="593" spans="5:10">
      <c r="E593" s="95"/>
      <c r="F593" s="83"/>
      <c r="G593" s="83"/>
      <c r="H593" s="2"/>
      <c r="J593" s="2"/>
    </row>
    <row r="594" spans="5:10">
      <c r="E594" s="95"/>
      <c r="F594" s="83"/>
      <c r="G594" s="83"/>
      <c r="H594" s="2"/>
      <c r="J594" s="2"/>
    </row>
    <row r="595" spans="5:10">
      <c r="E595" s="95"/>
      <c r="F595" s="83"/>
      <c r="G595" s="83"/>
      <c r="H595" s="2"/>
      <c r="J595" s="2"/>
    </row>
    <row r="596" spans="5:10">
      <c r="E596" s="95"/>
      <c r="F596" s="83"/>
      <c r="G596" s="83"/>
      <c r="H596" s="2"/>
      <c r="J596" s="2"/>
    </row>
    <row r="597" spans="5:10">
      <c r="E597" s="95"/>
      <c r="F597" s="83"/>
      <c r="G597" s="83"/>
      <c r="H597" s="2"/>
      <c r="J597" s="2"/>
    </row>
    <row r="598" spans="5:10">
      <c r="E598" s="95"/>
      <c r="F598" s="83"/>
      <c r="G598" s="83"/>
      <c r="H598" s="2"/>
      <c r="J598" s="2"/>
    </row>
    <row r="599" spans="5:10">
      <c r="E599" s="95"/>
      <c r="F599" s="83"/>
      <c r="G599" s="83"/>
      <c r="H599" s="2"/>
      <c r="J599" s="2"/>
    </row>
    <row r="600" spans="5:10">
      <c r="E600" s="95"/>
      <c r="F600" s="83"/>
      <c r="G600" s="83"/>
      <c r="H600" s="2"/>
      <c r="J600" s="2"/>
    </row>
    <row r="601" spans="5:10">
      <c r="E601" s="95"/>
      <c r="F601" s="83"/>
      <c r="G601" s="83"/>
      <c r="H601" s="2"/>
      <c r="J601" s="2"/>
    </row>
    <row r="602" spans="5:10">
      <c r="E602" s="95"/>
      <c r="F602" s="83"/>
      <c r="G602" s="83"/>
      <c r="H602" s="2"/>
      <c r="J602" s="2"/>
    </row>
    <row r="603" spans="5:10">
      <c r="E603" s="95"/>
      <c r="F603" s="83"/>
      <c r="G603" s="83"/>
      <c r="H603" s="2"/>
      <c r="J603" s="2"/>
    </row>
    <row r="604" spans="5:10">
      <c r="E604" s="95"/>
      <c r="F604" s="83"/>
      <c r="G604" s="83"/>
      <c r="H604" s="2"/>
      <c r="J604" s="2"/>
    </row>
    <row r="605" spans="5:10">
      <c r="E605" s="95"/>
      <c r="F605" s="83"/>
      <c r="G605" s="83"/>
      <c r="H605" s="2"/>
      <c r="J605" s="2"/>
    </row>
    <row r="606" spans="5:10">
      <c r="E606" s="95"/>
      <c r="F606" s="83"/>
      <c r="G606" s="83"/>
      <c r="H606" s="2"/>
      <c r="J606" s="2"/>
    </row>
    <row r="607" spans="5:10">
      <c r="E607" s="95"/>
      <c r="F607" s="83"/>
      <c r="G607" s="83"/>
      <c r="H607" s="2"/>
      <c r="J607" s="2"/>
    </row>
    <row r="608" spans="5:10">
      <c r="E608" s="95"/>
      <c r="F608" s="83"/>
      <c r="G608" s="83"/>
      <c r="H608" s="2"/>
      <c r="J608" s="2"/>
    </row>
    <row r="609" spans="5:10">
      <c r="E609" s="95"/>
      <c r="F609" s="83"/>
      <c r="G609" s="83"/>
      <c r="H609" s="2"/>
      <c r="J609" s="2"/>
    </row>
    <row r="610" spans="5:10">
      <c r="E610" s="95"/>
      <c r="F610" s="83"/>
      <c r="G610" s="83"/>
      <c r="H610" s="2"/>
      <c r="J610" s="2"/>
    </row>
    <row r="611" spans="5:10">
      <c r="E611" s="95"/>
      <c r="F611" s="83"/>
      <c r="G611" s="83"/>
      <c r="H611" s="2"/>
      <c r="J611" s="2"/>
    </row>
    <row r="612" spans="5:10">
      <c r="E612" s="95"/>
      <c r="F612" s="83"/>
      <c r="G612" s="83"/>
      <c r="H612" s="2"/>
      <c r="J612" s="2"/>
    </row>
    <row r="613" spans="5:10">
      <c r="E613" s="95"/>
      <c r="F613" s="83"/>
      <c r="G613" s="83"/>
      <c r="H613" s="2"/>
      <c r="J613" s="2"/>
    </row>
    <row r="614" spans="5:10">
      <c r="E614" s="95"/>
      <c r="F614" s="83"/>
      <c r="G614" s="83"/>
      <c r="H614" s="2"/>
      <c r="J614" s="2"/>
    </row>
    <row r="615" spans="5:10">
      <c r="E615" s="95"/>
      <c r="F615" s="83"/>
      <c r="G615" s="83"/>
      <c r="H615" s="2"/>
      <c r="J615" s="2"/>
    </row>
    <row r="616" spans="5:10">
      <c r="E616" s="95"/>
      <c r="F616" s="83"/>
      <c r="G616" s="83"/>
      <c r="H616" s="2"/>
      <c r="J616" s="2"/>
    </row>
    <row r="617" spans="5:10">
      <c r="E617" s="95"/>
      <c r="F617" s="83"/>
      <c r="G617" s="83"/>
      <c r="H617" s="2"/>
      <c r="J617" s="2"/>
    </row>
    <row r="618" spans="5:10">
      <c r="E618" s="95"/>
      <c r="F618" s="83"/>
      <c r="G618" s="83"/>
      <c r="H618" s="2"/>
      <c r="J618" s="2"/>
    </row>
    <row r="619" spans="5:10">
      <c r="E619" s="95"/>
      <c r="F619" s="83"/>
      <c r="G619" s="83"/>
      <c r="H619" s="2"/>
      <c r="J619" s="2"/>
    </row>
    <row r="620" spans="5:10">
      <c r="E620" s="95"/>
      <c r="F620" s="83"/>
      <c r="G620" s="83"/>
      <c r="H620" s="2"/>
      <c r="J620" s="2"/>
    </row>
    <row r="621" spans="5:10">
      <c r="E621" s="95"/>
      <c r="F621" s="83"/>
      <c r="G621" s="83"/>
      <c r="H621" s="2"/>
      <c r="J621" s="2"/>
    </row>
    <row r="622" spans="5:10">
      <c r="E622" s="95"/>
      <c r="F622" s="83"/>
      <c r="G622" s="83"/>
      <c r="H622" s="2"/>
      <c r="J622" s="2"/>
    </row>
    <row r="623" spans="5:10">
      <c r="E623" s="95"/>
      <c r="F623" s="83"/>
      <c r="G623" s="83"/>
      <c r="H623" s="2"/>
      <c r="J623" s="2"/>
    </row>
    <row r="624" spans="5:10">
      <c r="E624" s="95"/>
      <c r="F624" s="83"/>
      <c r="G624" s="83"/>
      <c r="H624" s="2"/>
      <c r="J624" s="2"/>
    </row>
    <row r="625" spans="5:10">
      <c r="E625" s="95"/>
      <c r="F625" s="83"/>
      <c r="G625" s="83"/>
      <c r="H625" s="2"/>
      <c r="J625" s="2"/>
    </row>
    <row r="626" spans="5:10">
      <c r="E626" s="95"/>
      <c r="F626" s="83"/>
      <c r="G626" s="83"/>
      <c r="H626" s="2"/>
      <c r="J626" s="2"/>
    </row>
    <row r="627" spans="5:10">
      <c r="E627" s="95"/>
      <c r="F627" s="83"/>
      <c r="G627" s="83"/>
      <c r="H627" s="2"/>
      <c r="J627" s="2"/>
    </row>
    <row r="628" spans="5:10">
      <c r="E628" s="95"/>
      <c r="F628" s="83"/>
      <c r="G628" s="83"/>
      <c r="H628" s="2"/>
      <c r="J628" s="2"/>
    </row>
    <row r="629" spans="5:10">
      <c r="E629" s="95"/>
      <c r="F629" s="83"/>
      <c r="G629" s="83"/>
      <c r="H629" s="2"/>
      <c r="J629" s="2"/>
    </row>
    <row r="630" spans="5:10">
      <c r="E630" s="95"/>
      <c r="F630" s="83"/>
      <c r="G630" s="83"/>
      <c r="H630" s="2"/>
      <c r="J630" s="2"/>
    </row>
    <row r="631" spans="5:10">
      <c r="E631" s="95"/>
      <c r="F631" s="83"/>
      <c r="G631" s="83"/>
      <c r="H631" s="2"/>
      <c r="J631" s="2"/>
    </row>
    <row r="632" spans="5:10">
      <c r="E632" s="95"/>
      <c r="F632" s="83"/>
      <c r="G632" s="83"/>
      <c r="H632" s="2"/>
      <c r="J632" s="2"/>
    </row>
    <row r="633" spans="5:10">
      <c r="E633" s="95"/>
      <c r="F633" s="83"/>
      <c r="G633" s="83"/>
      <c r="H633" s="2"/>
      <c r="J633" s="2"/>
    </row>
    <row r="634" spans="5:10">
      <c r="E634" s="95"/>
      <c r="F634" s="83"/>
      <c r="G634" s="83"/>
      <c r="H634" s="2"/>
      <c r="J634" s="2"/>
    </row>
    <row r="635" spans="5:10">
      <c r="E635" s="95"/>
      <c r="F635" s="83"/>
      <c r="G635" s="83"/>
      <c r="H635" s="2"/>
      <c r="J635" s="2"/>
    </row>
    <row r="636" spans="5:10">
      <c r="E636" s="95"/>
      <c r="F636" s="83"/>
      <c r="G636" s="83"/>
      <c r="H636" s="2"/>
      <c r="J636" s="2"/>
    </row>
    <row r="637" spans="5:10">
      <c r="E637" s="95"/>
      <c r="F637" s="83"/>
      <c r="G637" s="83"/>
      <c r="H637" s="2"/>
      <c r="J637" s="2"/>
    </row>
    <row r="638" spans="5:10">
      <c r="E638" s="95"/>
      <c r="F638" s="83"/>
      <c r="G638" s="83"/>
      <c r="H638" s="2"/>
      <c r="J638" s="2"/>
    </row>
    <row r="639" spans="5:10">
      <c r="E639" s="95"/>
      <c r="F639" s="83"/>
      <c r="G639" s="83"/>
      <c r="H639" s="2"/>
      <c r="J639" s="2"/>
    </row>
    <row r="640" spans="5:10">
      <c r="E640" s="95"/>
      <c r="F640" s="83"/>
      <c r="G640" s="83"/>
      <c r="H640" s="2"/>
      <c r="J640" s="2"/>
    </row>
    <row r="641" spans="5:10">
      <c r="E641" s="95"/>
      <c r="F641" s="83"/>
      <c r="G641" s="83"/>
      <c r="H641" s="2"/>
      <c r="J641" s="2"/>
    </row>
    <row r="642" spans="5:10">
      <c r="E642" s="95"/>
      <c r="F642" s="83"/>
      <c r="G642" s="83"/>
      <c r="H642" s="2"/>
      <c r="J642" s="2"/>
    </row>
    <row r="643" spans="5:10">
      <c r="E643" s="95"/>
      <c r="F643" s="83"/>
      <c r="G643" s="83"/>
      <c r="H643" s="2"/>
      <c r="J643" s="2"/>
    </row>
    <row r="644" spans="5:10">
      <c r="E644" s="95"/>
      <c r="F644" s="83"/>
      <c r="G644" s="83"/>
      <c r="H644" s="2"/>
      <c r="J644" s="2"/>
    </row>
    <row r="645" spans="5:10">
      <c r="E645" s="95"/>
      <c r="F645" s="83"/>
      <c r="G645" s="83"/>
      <c r="H645" s="2"/>
      <c r="J645" s="2"/>
    </row>
    <row r="646" spans="5:10">
      <c r="E646" s="95"/>
      <c r="F646" s="83"/>
      <c r="G646" s="83"/>
      <c r="H646" s="2"/>
      <c r="J646" s="2"/>
    </row>
    <row r="647" spans="5:10">
      <c r="E647" s="95"/>
      <c r="F647" s="83"/>
      <c r="G647" s="83"/>
      <c r="H647" s="2"/>
      <c r="J647" s="2"/>
    </row>
    <row r="648" spans="5:10">
      <c r="E648" s="95"/>
      <c r="F648" s="83"/>
      <c r="G648" s="83"/>
      <c r="H648" s="2"/>
      <c r="J648" s="2"/>
    </row>
    <row r="649" spans="5:10">
      <c r="E649" s="95"/>
      <c r="F649" s="83"/>
      <c r="G649" s="83"/>
      <c r="H649" s="2"/>
      <c r="J649" s="2"/>
    </row>
    <row r="650" spans="5:10">
      <c r="E650" s="95"/>
      <c r="F650" s="83"/>
      <c r="G650" s="83"/>
      <c r="H650" s="2"/>
      <c r="J650" s="2"/>
    </row>
    <row r="651" spans="5:10">
      <c r="E651" s="95"/>
      <c r="F651" s="83"/>
      <c r="G651" s="83"/>
      <c r="H651" s="2"/>
      <c r="J651" s="2"/>
    </row>
    <row r="652" spans="5:10">
      <c r="E652" s="95"/>
      <c r="F652" s="83"/>
      <c r="G652" s="83"/>
      <c r="H652" s="2"/>
      <c r="J652" s="2"/>
    </row>
    <row r="653" spans="5:10">
      <c r="E653" s="95"/>
      <c r="F653" s="83"/>
      <c r="G653" s="83"/>
      <c r="H653" s="2"/>
      <c r="J653" s="2"/>
    </row>
    <row r="654" spans="5:10">
      <c r="E654" s="95"/>
      <c r="F654" s="83"/>
      <c r="G654" s="83"/>
      <c r="H654" s="2"/>
      <c r="J654" s="2"/>
    </row>
    <row r="655" spans="5:10">
      <c r="E655" s="95"/>
      <c r="F655" s="83"/>
      <c r="G655" s="83"/>
      <c r="H655" s="2"/>
      <c r="J655" s="2"/>
    </row>
    <row r="656" spans="5:10">
      <c r="E656" s="95"/>
      <c r="F656" s="83"/>
      <c r="G656" s="83"/>
      <c r="H656" s="2"/>
      <c r="J656" s="2"/>
    </row>
    <row r="657" spans="5:10">
      <c r="E657" s="95"/>
      <c r="F657" s="83"/>
      <c r="G657" s="83"/>
      <c r="H657" s="2"/>
      <c r="J657" s="2"/>
    </row>
    <row r="658" spans="5:10">
      <c r="E658" s="95"/>
      <c r="F658" s="83"/>
      <c r="G658" s="83"/>
      <c r="H658" s="2"/>
      <c r="J658" s="2"/>
    </row>
    <row r="659" spans="5:10">
      <c r="E659" s="95"/>
      <c r="F659" s="83"/>
      <c r="G659" s="83"/>
      <c r="H659" s="2"/>
      <c r="J659" s="2"/>
    </row>
    <row r="660" spans="5:10">
      <c r="E660" s="95"/>
      <c r="F660" s="83"/>
      <c r="G660" s="83"/>
      <c r="H660" s="2"/>
      <c r="J660" s="2"/>
    </row>
    <row r="661" spans="5:10">
      <c r="E661" s="95"/>
      <c r="F661" s="83"/>
      <c r="G661" s="83"/>
      <c r="H661" s="2"/>
      <c r="J661" s="2"/>
    </row>
    <row r="662" spans="5:10">
      <c r="E662" s="95"/>
      <c r="F662" s="83"/>
      <c r="G662" s="83"/>
      <c r="H662" s="2"/>
      <c r="J662" s="2"/>
    </row>
    <row r="663" spans="5:10">
      <c r="E663" s="95"/>
      <c r="F663" s="83"/>
      <c r="G663" s="83"/>
      <c r="H663" s="2"/>
      <c r="J663" s="2"/>
    </row>
    <row r="664" spans="5:10">
      <c r="E664" s="95"/>
      <c r="F664" s="83"/>
      <c r="G664" s="83"/>
      <c r="H664" s="2"/>
      <c r="J664" s="2"/>
    </row>
  </sheetData>
  <mergeCells count="1">
    <mergeCell ref="B1:J1"/>
  </mergeCells>
  <printOptions horizontalCentered="1" gridLines="1"/>
  <pageMargins left="0.25" right="0.25" top="0.75" bottom="0.75" header="0.3" footer="0.3"/>
  <pageSetup scale="59" fitToHeight="0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W54"/>
  <sheetViews>
    <sheetView zoomScaleNormal="100" workbookViewId="0">
      <selection activeCell="N53" sqref="N53"/>
    </sheetView>
  </sheetViews>
  <sheetFormatPr defaultRowHeight="12.75"/>
  <cols>
    <col min="1" max="1" width="18.7109375" style="64" bestFit="1" customWidth="1"/>
    <col min="2" max="2" width="25.7109375" style="63" customWidth="1"/>
    <col min="3" max="3" width="25.85546875" style="64" customWidth="1"/>
    <col min="4" max="257" width="9.140625" style="64"/>
    <col min="258" max="258" width="18.7109375" style="64" bestFit="1" customWidth="1"/>
    <col min="259" max="259" width="12.7109375" style="64" bestFit="1" customWidth="1"/>
    <col min="260" max="513" width="9.140625" style="64"/>
    <col min="514" max="514" width="18.7109375" style="64" bestFit="1" customWidth="1"/>
    <col min="515" max="515" width="12.7109375" style="64" bestFit="1" customWidth="1"/>
    <col min="516" max="769" width="9.140625" style="64"/>
    <col min="770" max="770" width="18.7109375" style="64" bestFit="1" customWidth="1"/>
    <col min="771" max="771" width="12.7109375" style="64" bestFit="1" customWidth="1"/>
    <col min="772" max="1025" width="9.140625" style="64"/>
    <col min="1026" max="1026" width="18.7109375" style="64" bestFit="1" customWidth="1"/>
    <col min="1027" max="1027" width="12.7109375" style="64" bestFit="1" customWidth="1"/>
    <col min="1028" max="1281" width="9.140625" style="64"/>
    <col min="1282" max="1282" width="18.7109375" style="64" bestFit="1" customWidth="1"/>
    <col min="1283" max="1283" width="12.7109375" style="64" bestFit="1" customWidth="1"/>
    <col min="1284" max="1537" width="9.140625" style="64"/>
    <col min="1538" max="1538" width="18.7109375" style="64" bestFit="1" customWidth="1"/>
    <col min="1539" max="1539" width="12.7109375" style="64" bestFit="1" customWidth="1"/>
    <col min="1540" max="1793" width="9.140625" style="64"/>
    <col min="1794" max="1794" width="18.7109375" style="64" bestFit="1" customWidth="1"/>
    <col min="1795" max="1795" width="12.7109375" style="64" bestFit="1" customWidth="1"/>
    <col min="1796" max="2049" width="9.140625" style="64"/>
    <col min="2050" max="2050" width="18.7109375" style="64" bestFit="1" customWidth="1"/>
    <col min="2051" max="2051" width="12.7109375" style="64" bestFit="1" customWidth="1"/>
    <col min="2052" max="2305" width="9.140625" style="64"/>
    <col min="2306" max="2306" width="18.7109375" style="64" bestFit="1" customWidth="1"/>
    <col min="2307" max="2307" width="12.7109375" style="64" bestFit="1" customWidth="1"/>
    <col min="2308" max="2561" width="9.140625" style="64"/>
    <col min="2562" max="2562" width="18.7109375" style="64" bestFit="1" customWidth="1"/>
    <col min="2563" max="2563" width="12.7109375" style="64" bestFit="1" customWidth="1"/>
    <col min="2564" max="2817" width="9.140625" style="64"/>
    <col min="2818" max="2818" width="18.7109375" style="64" bestFit="1" customWidth="1"/>
    <col min="2819" max="2819" width="12.7109375" style="64" bestFit="1" customWidth="1"/>
    <col min="2820" max="3073" width="9.140625" style="64"/>
    <col min="3074" max="3074" width="18.7109375" style="64" bestFit="1" customWidth="1"/>
    <col min="3075" max="3075" width="12.7109375" style="64" bestFit="1" customWidth="1"/>
    <col min="3076" max="3329" width="9.140625" style="64"/>
    <col min="3330" max="3330" width="18.7109375" style="64" bestFit="1" customWidth="1"/>
    <col min="3331" max="3331" width="12.7109375" style="64" bestFit="1" customWidth="1"/>
    <col min="3332" max="3585" width="9.140625" style="64"/>
    <col min="3586" max="3586" width="18.7109375" style="64" bestFit="1" customWidth="1"/>
    <col min="3587" max="3587" width="12.7109375" style="64" bestFit="1" customWidth="1"/>
    <col min="3588" max="3841" width="9.140625" style="64"/>
    <col min="3842" max="3842" width="18.7109375" style="64" bestFit="1" customWidth="1"/>
    <col min="3843" max="3843" width="12.7109375" style="64" bestFit="1" customWidth="1"/>
    <col min="3844" max="4097" width="9.140625" style="64"/>
    <col min="4098" max="4098" width="18.7109375" style="64" bestFit="1" customWidth="1"/>
    <col min="4099" max="4099" width="12.7109375" style="64" bestFit="1" customWidth="1"/>
    <col min="4100" max="4353" width="9.140625" style="64"/>
    <col min="4354" max="4354" width="18.7109375" style="64" bestFit="1" customWidth="1"/>
    <col min="4355" max="4355" width="12.7109375" style="64" bestFit="1" customWidth="1"/>
    <col min="4356" max="4609" width="9.140625" style="64"/>
    <col min="4610" max="4610" width="18.7109375" style="64" bestFit="1" customWidth="1"/>
    <col min="4611" max="4611" width="12.7109375" style="64" bestFit="1" customWidth="1"/>
    <col min="4612" max="4865" width="9.140625" style="64"/>
    <col min="4866" max="4866" width="18.7109375" style="64" bestFit="1" customWidth="1"/>
    <col min="4867" max="4867" width="12.7109375" style="64" bestFit="1" customWidth="1"/>
    <col min="4868" max="5121" width="9.140625" style="64"/>
    <col min="5122" max="5122" width="18.7109375" style="64" bestFit="1" customWidth="1"/>
    <col min="5123" max="5123" width="12.7109375" style="64" bestFit="1" customWidth="1"/>
    <col min="5124" max="5377" width="9.140625" style="64"/>
    <col min="5378" max="5378" width="18.7109375" style="64" bestFit="1" customWidth="1"/>
    <col min="5379" max="5379" width="12.7109375" style="64" bestFit="1" customWidth="1"/>
    <col min="5380" max="5633" width="9.140625" style="64"/>
    <col min="5634" max="5634" width="18.7109375" style="64" bestFit="1" customWidth="1"/>
    <col min="5635" max="5635" width="12.7109375" style="64" bestFit="1" customWidth="1"/>
    <col min="5636" max="5889" width="9.140625" style="64"/>
    <col min="5890" max="5890" width="18.7109375" style="64" bestFit="1" customWidth="1"/>
    <col min="5891" max="5891" width="12.7109375" style="64" bestFit="1" customWidth="1"/>
    <col min="5892" max="6145" width="9.140625" style="64"/>
    <col min="6146" max="6146" width="18.7109375" style="64" bestFit="1" customWidth="1"/>
    <col min="6147" max="6147" width="12.7109375" style="64" bestFit="1" customWidth="1"/>
    <col min="6148" max="6401" width="9.140625" style="64"/>
    <col min="6402" max="6402" width="18.7109375" style="64" bestFit="1" customWidth="1"/>
    <col min="6403" max="6403" width="12.7109375" style="64" bestFit="1" customWidth="1"/>
    <col min="6404" max="6657" width="9.140625" style="64"/>
    <col min="6658" max="6658" width="18.7109375" style="64" bestFit="1" customWidth="1"/>
    <col min="6659" max="6659" width="12.7109375" style="64" bestFit="1" customWidth="1"/>
    <col min="6660" max="6913" width="9.140625" style="64"/>
    <col min="6914" max="6914" width="18.7109375" style="64" bestFit="1" customWidth="1"/>
    <col min="6915" max="6915" width="12.7109375" style="64" bestFit="1" customWidth="1"/>
    <col min="6916" max="7169" width="9.140625" style="64"/>
    <col min="7170" max="7170" width="18.7109375" style="64" bestFit="1" customWidth="1"/>
    <col min="7171" max="7171" width="12.7109375" style="64" bestFit="1" customWidth="1"/>
    <col min="7172" max="7425" width="9.140625" style="64"/>
    <col min="7426" max="7426" width="18.7109375" style="64" bestFit="1" customWidth="1"/>
    <col min="7427" max="7427" width="12.7109375" style="64" bestFit="1" customWidth="1"/>
    <col min="7428" max="7681" width="9.140625" style="64"/>
    <col min="7682" max="7682" width="18.7109375" style="64" bestFit="1" customWidth="1"/>
    <col min="7683" max="7683" width="12.7109375" style="64" bestFit="1" customWidth="1"/>
    <col min="7684" max="7937" width="9.140625" style="64"/>
    <col min="7938" max="7938" width="18.7109375" style="64" bestFit="1" customWidth="1"/>
    <col min="7939" max="7939" width="12.7109375" style="64" bestFit="1" customWidth="1"/>
    <col min="7940" max="8193" width="9.140625" style="64"/>
    <col min="8194" max="8194" width="18.7109375" style="64" bestFit="1" customWidth="1"/>
    <col min="8195" max="8195" width="12.7109375" style="64" bestFit="1" customWidth="1"/>
    <col min="8196" max="8449" width="9.140625" style="64"/>
    <col min="8450" max="8450" width="18.7109375" style="64" bestFit="1" customWidth="1"/>
    <col min="8451" max="8451" width="12.7109375" style="64" bestFit="1" customWidth="1"/>
    <col min="8452" max="8705" width="9.140625" style="64"/>
    <col min="8706" max="8706" width="18.7109375" style="64" bestFit="1" customWidth="1"/>
    <col min="8707" max="8707" width="12.7109375" style="64" bestFit="1" customWidth="1"/>
    <col min="8708" max="8961" width="9.140625" style="64"/>
    <col min="8962" max="8962" width="18.7109375" style="64" bestFit="1" customWidth="1"/>
    <col min="8963" max="8963" width="12.7109375" style="64" bestFit="1" customWidth="1"/>
    <col min="8964" max="9217" width="9.140625" style="64"/>
    <col min="9218" max="9218" width="18.7109375" style="64" bestFit="1" customWidth="1"/>
    <col min="9219" max="9219" width="12.7109375" style="64" bestFit="1" customWidth="1"/>
    <col min="9220" max="9473" width="9.140625" style="64"/>
    <col min="9474" max="9474" width="18.7109375" style="64" bestFit="1" customWidth="1"/>
    <col min="9475" max="9475" width="12.7109375" style="64" bestFit="1" customWidth="1"/>
    <col min="9476" max="9729" width="9.140625" style="64"/>
    <col min="9730" max="9730" width="18.7109375" style="64" bestFit="1" customWidth="1"/>
    <col min="9731" max="9731" width="12.7109375" style="64" bestFit="1" customWidth="1"/>
    <col min="9732" max="9985" width="9.140625" style="64"/>
    <col min="9986" max="9986" width="18.7109375" style="64" bestFit="1" customWidth="1"/>
    <col min="9987" max="9987" width="12.7109375" style="64" bestFit="1" customWidth="1"/>
    <col min="9988" max="10241" width="9.140625" style="64"/>
    <col min="10242" max="10242" width="18.7109375" style="64" bestFit="1" customWidth="1"/>
    <col min="10243" max="10243" width="12.7109375" style="64" bestFit="1" customWidth="1"/>
    <col min="10244" max="10497" width="9.140625" style="64"/>
    <col min="10498" max="10498" width="18.7109375" style="64" bestFit="1" customWidth="1"/>
    <col min="10499" max="10499" width="12.7109375" style="64" bestFit="1" customWidth="1"/>
    <col min="10500" max="10753" width="9.140625" style="64"/>
    <col min="10754" max="10754" width="18.7109375" style="64" bestFit="1" customWidth="1"/>
    <col min="10755" max="10755" width="12.7109375" style="64" bestFit="1" customWidth="1"/>
    <col min="10756" max="11009" width="9.140625" style="64"/>
    <col min="11010" max="11010" width="18.7109375" style="64" bestFit="1" customWidth="1"/>
    <col min="11011" max="11011" width="12.7109375" style="64" bestFit="1" customWidth="1"/>
    <col min="11012" max="11265" width="9.140625" style="64"/>
    <col min="11266" max="11266" width="18.7109375" style="64" bestFit="1" customWidth="1"/>
    <col min="11267" max="11267" width="12.7109375" style="64" bestFit="1" customWidth="1"/>
    <col min="11268" max="11521" width="9.140625" style="64"/>
    <col min="11522" max="11522" width="18.7109375" style="64" bestFit="1" customWidth="1"/>
    <col min="11523" max="11523" width="12.7109375" style="64" bestFit="1" customWidth="1"/>
    <col min="11524" max="11777" width="9.140625" style="64"/>
    <col min="11778" max="11778" width="18.7109375" style="64" bestFit="1" customWidth="1"/>
    <col min="11779" max="11779" width="12.7109375" style="64" bestFit="1" customWidth="1"/>
    <col min="11780" max="12033" width="9.140625" style="64"/>
    <col min="12034" max="12034" width="18.7109375" style="64" bestFit="1" customWidth="1"/>
    <col min="12035" max="12035" width="12.7109375" style="64" bestFit="1" customWidth="1"/>
    <col min="12036" max="12289" width="9.140625" style="64"/>
    <col min="12290" max="12290" width="18.7109375" style="64" bestFit="1" customWidth="1"/>
    <col min="12291" max="12291" width="12.7109375" style="64" bestFit="1" customWidth="1"/>
    <col min="12292" max="12545" width="9.140625" style="64"/>
    <col min="12546" max="12546" width="18.7109375" style="64" bestFit="1" customWidth="1"/>
    <col min="12547" max="12547" width="12.7109375" style="64" bestFit="1" customWidth="1"/>
    <col min="12548" max="12801" width="9.140625" style="64"/>
    <col min="12802" max="12802" width="18.7109375" style="64" bestFit="1" customWidth="1"/>
    <col min="12803" max="12803" width="12.7109375" style="64" bestFit="1" customWidth="1"/>
    <col min="12804" max="13057" width="9.140625" style="64"/>
    <col min="13058" max="13058" width="18.7109375" style="64" bestFit="1" customWidth="1"/>
    <col min="13059" max="13059" width="12.7109375" style="64" bestFit="1" customWidth="1"/>
    <col min="13060" max="13313" width="9.140625" style="64"/>
    <col min="13314" max="13314" width="18.7109375" style="64" bestFit="1" customWidth="1"/>
    <col min="13315" max="13315" width="12.7109375" style="64" bestFit="1" customWidth="1"/>
    <col min="13316" max="13569" width="9.140625" style="64"/>
    <col min="13570" max="13570" width="18.7109375" style="64" bestFit="1" customWidth="1"/>
    <col min="13571" max="13571" width="12.7109375" style="64" bestFit="1" customWidth="1"/>
    <col min="13572" max="13825" width="9.140625" style="64"/>
    <col min="13826" max="13826" width="18.7109375" style="64" bestFit="1" customWidth="1"/>
    <col min="13827" max="13827" width="12.7109375" style="64" bestFit="1" customWidth="1"/>
    <col min="13828" max="14081" width="9.140625" style="64"/>
    <col min="14082" max="14082" width="18.7109375" style="64" bestFit="1" customWidth="1"/>
    <col min="14083" max="14083" width="12.7109375" style="64" bestFit="1" customWidth="1"/>
    <col min="14084" max="14337" width="9.140625" style="64"/>
    <col min="14338" max="14338" width="18.7109375" style="64" bestFit="1" customWidth="1"/>
    <col min="14339" max="14339" width="12.7109375" style="64" bestFit="1" customWidth="1"/>
    <col min="14340" max="14593" width="9.140625" style="64"/>
    <col min="14594" max="14594" width="18.7109375" style="64" bestFit="1" customWidth="1"/>
    <col min="14595" max="14595" width="12.7109375" style="64" bestFit="1" customWidth="1"/>
    <col min="14596" max="14849" width="9.140625" style="64"/>
    <col min="14850" max="14850" width="18.7109375" style="64" bestFit="1" customWidth="1"/>
    <col min="14851" max="14851" width="12.7109375" style="64" bestFit="1" customWidth="1"/>
    <col min="14852" max="15105" width="9.140625" style="64"/>
    <col min="15106" max="15106" width="18.7109375" style="64" bestFit="1" customWidth="1"/>
    <col min="15107" max="15107" width="12.7109375" style="64" bestFit="1" customWidth="1"/>
    <col min="15108" max="15361" width="9.140625" style="64"/>
    <col min="15362" max="15362" width="18.7109375" style="64" bestFit="1" customWidth="1"/>
    <col min="15363" max="15363" width="12.7109375" style="64" bestFit="1" customWidth="1"/>
    <col min="15364" max="15617" width="9.140625" style="64"/>
    <col min="15618" max="15618" width="18.7109375" style="64" bestFit="1" customWidth="1"/>
    <col min="15619" max="15619" width="12.7109375" style="64" bestFit="1" customWidth="1"/>
    <col min="15620" max="15873" width="9.140625" style="64"/>
    <col min="15874" max="15874" width="18.7109375" style="64" bestFit="1" customWidth="1"/>
    <col min="15875" max="15875" width="12.7109375" style="64" bestFit="1" customWidth="1"/>
    <col min="15876" max="16129" width="9.140625" style="64"/>
    <col min="16130" max="16130" width="18.7109375" style="64" bestFit="1" customWidth="1"/>
    <col min="16131" max="16131" width="12.7109375" style="64" bestFit="1" customWidth="1"/>
    <col min="16132" max="16384" width="9.140625" style="64"/>
  </cols>
  <sheetData>
    <row r="4" spans="2:23">
      <c r="U4" s="63"/>
    </row>
    <row r="5" spans="2:23">
      <c r="C5" s="64" t="s">
        <v>460</v>
      </c>
      <c r="U5" s="63"/>
    </row>
    <row r="6" spans="2:23">
      <c r="B6" s="63" t="s">
        <v>461</v>
      </c>
      <c r="C6" s="200">
        <f>'APPENDIX A FOR INPUT'!J13+'APPENDIX A FOR INPUT'!J19+'APPENDIX A FOR INPUT'!J33+'APPENDIX A FOR INPUT'!J42+'APPENDIX A FOR INPUT'!J56+'APPENDIX A FOR INPUT'!J76+'APPENDIX A FOR INPUT'!J89+'APPENDIX A FOR INPUT'!J100+'APPENDIX A FOR INPUT'!J106+'APPENDIX A FOR INPUT'!J121+'APPENDIX A FOR INPUT'!J136+'APPENDIX A FOR INPUT'!J149+'APPENDIX A FOR INPUT'!J154+'APPENDIX A FOR INPUT'!J165</f>
        <v>869142.52</v>
      </c>
      <c r="U6" s="63"/>
    </row>
    <row r="7" spans="2:23" ht="15">
      <c r="B7" s="63" t="s">
        <v>462</v>
      </c>
      <c r="C7" s="180">
        <f>'APPENDIX A FOR INPUT'!J189+'APPENDIX A FOR INPUT'!J262+'APPENDIX A FOR INPUT'!J286+'APPENDIX A FOR INPUT'!J311+'APPENDIX A FOR INPUT'!J328+'APPENDIX A FOR INPUT'!J348+'APPENDIX A FOR INPUT'!J362+'APPENDIX A FOR INPUT'!J370</f>
        <v>3216291.4</v>
      </c>
      <c r="U7" s="63"/>
      <c r="W7"/>
    </row>
    <row r="8" spans="2:23" ht="15">
      <c r="B8" s="63" t="s">
        <v>463</v>
      </c>
      <c r="C8" s="180">
        <f>'APPENDIX A FOR INPUT'!J394</f>
        <v>15144333.454</v>
      </c>
      <c r="U8" s="63"/>
      <c r="W8" s="69"/>
    </row>
    <row r="9" spans="2:23" ht="15">
      <c r="B9" s="63" t="s">
        <v>464</v>
      </c>
      <c r="C9" s="180">
        <f>'APPENDIX A FOR INPUT'!J433+'APPENDIX A FOR INPUT'!J439+'APPENDIX A FOR INPUT'!J444+'APPENDIX A FOR INPUT'!J454</f>
        <v>1056400</v>
      </c>
      <c r="U9" s="63"/>
      <c r="W9" s="69"/>
    </row>
    <row r="10" spans="2:23">
      <c r="B10" s="63" t="s">
        <v>465</v>
      </c>
      <c r="C10" s="180">
        <f>'APPENDIX A FOR INPUT'!J460+'APPENDIX A FOR INPUT'!J475+'APPENDIX A FOR INPUT'!J485</f>
        <v>98056</v>
      </c>
      <c r="U10" s="63"/>
      <c r="W10" s="70"/>
    </row>
    <row r="11" spans="2:23">
      <c r="B11" s="63" t="s">
        <v>466</v>
      </c>
      <c r="C11" s="180">
        <f>'APPENDIX A FOR INPUT'!J529+'APPENDIX A FOR INPUT'!J521+'APPENDIX A FOR INPUT'!J509</f>
        <v>175984</v>
      </c>
      <c r="U11" s="63"/>
      <c r="W11" s="63"/>
    </row>
    <row r="12" spans="2:23" ht="15">
      <c r="B12" s="63" t="s">
        <v>467</v>
      </c>
      <c r="C12" s="180">
        <f>'APPENDIX A FOR INPUT'!J543+'APPENDIX A FOR INPUT'!J536</f>
        <v>1268563.5</v>
      </c>
      <c r="U12" s="63"/>
      <c r="W12" s="69"/>
    </row>
    <row r="13" spans="2:23" ht="15">
      <c r="B13" s="63" t="s">
        <v>468</v>
      </c>
      <c r="C13" s="180">
        <f>'APPENDIX A FOR INPUT'!J379+'APPENDIX A FOR INPUT'!J217+'APPENDIX A FOR INPUT'!J211+'APPENDIX A FOR INPUT'!J205+'APPENDIX A FOR INPUT'!J200+'APPENDIX A FOR INPUT'!J195</f>
        <v>1935927.5564999999</v>
      </c>
      <c r="W13" s="69"/>
    </row>
    <row r="16" spans="2:23">
      <c r="C16" s="180">
        <f>SUM(C6:C13)</f>
        <v>23764698.430499997</v>
      </c>
    </row>
    <row r="45" spans="1:2">
      <c r="A45" s="64" t="s">
        <v>351</v>
      </c>
      <c r="B45" s="63">
        <f>SUMIF('APPENDIX A FOR INPUT'!A:A,"Municipal",'APPENDIX A FOR INPUT'!J:J)</f>
        <v>1176275.52</v>
      </c>
    </row>
    <row r="46" spans="1:2">
      <c r="A46" s="64" t="s">
        <v>348</v>
      </c>
      <c r="B46" s="63">
        <f>SUMIF('APPENDIX A FOR INPUT'!A:A,"Human Services",'APPENDIX A FOR INPUT'!J:J)</f>
        <v>98056</v>
      </c>
    </row>
    <row r="47" spans="1:2">
      <c r="A47" s="64" t="s">
        <v>345</v>
      </c>
      <c r="B47" s="63">
        <f>SUMIF('APPENDIX A FOR INPUT'!A:A,"Insurance",'APPENDIX A FOR INPUT'!J:J)</f>
        <v>723933.55649999995</v>
      </c>
    </row>
    <row r="48" spans="1:2">
      <c r="A48" s="64" t="s">
        <v>347</v>
      </c>
      <c r="B48" s="63">
        <f>SUMIF('APPENDIX A FOR INPUT'!A:A,"Public Works",'APPENDIX A FOR INPUT'!J:J)</f>
        <v>1050650</v>
      </c>
    </row>
    <row r="49" spans="1:2">
      <c r="A49" s="64" t="s">
        <v>343</v>
      </c>
      <c r="B49" s="63">
        <f>SUMIF('APPENDIX A FOR INPUT'!A:A,"Public Safety",'APPENDIX A FOR INPUT'!J:J)</f>
        <v>3216291.4</v>
      </c>
    </row>
    <row r="50" spans="1:2">
      <c r="A50" s="64" t="s">
        <v>361</v>
      </c>
      <c r="B50" s="63">
        <f>SUMIF('APPENDIX A FOR INPUT'!A:A,"Pensions",'APPENDIX A FOR INPUT'!J:J)</f>
        <v>1086595</v>
      </c>
    </row>
    <row r="51" spans="1:2">
      <c r="A51" s="64" t="s">
        <v>350</v>
      </c>
      <c r="B51" s="63">
        <f>SUMIF('APPENDIX A FOR INPUT'!A:A,"Debt - Municipal",'APPENDIX A FOR INPUT'!J:J)</f>
        <v>239600</v>
      </c>
    </row>
    <row r="52" spans="1:2">
      <c r="A52" s="64" t="s">
        <v>349</v>
      </c>
      <c r="B52" s="63">
        <f>SUMIF('APPENDIX A FOR INPUT'!A:A,"Debt - Schools",'APPENDIX A FOR INPUT'!J:J)</f>
        <v>524219</v>
      </c>
    </row>
    <row r="53" spans="1:2">
      <c r="A53" s="64" t="s">
        <v>352</v>
      </c>
      <c r="B53" s="63">
        <f>SUMIF('APPENDIX A FOR INPUT'!A:A,"Schools",'APPENDIX A FOR INPUT'!J:J)</f>
        <v>15144333.454</v>
      </c>
    </row>
    <row r="54" spans="1:2">
      <c r="B54" s="63">
        <f>SUM(B45:B53)</f>
        <v>23259953.930500001</v>
      </c>
    </row>
  </sheetData>
  <printOptions horizontalCentered="1" verticalCentered="1"/>
  <pageMargins left="0" right="0.2" top="0.75" bottom="0.75" header="0.3" footer="0.3"/>
  <pageSetup scale="88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5"/>
  <sheetViews>
    <sheetView zoomScaleNormal="100" workbookViewId="0">
      <selection activeCell="G6" sqref="G6"/>
    </sheetView>
  </sheetViews>
  <sheetFormatPr defaultRowHeight="12.75"/>
  <cols>
    <col min="1" max="1" width="18.7109375" style="64" bestFit="1" customWidth="1"/>
    <col min="2" max="2" width="15" style="63" bestFit="1" customWidth="1"/>
    <col min="3" max="17" width="12.7109375" style="64" customWidth="1"/>
    <col min="18" max="18" width="9.140625" style="64"/>
    <col min="19" max="19" width="11.7109375" style="64" bestFit="1" customWidth="1"/>
    <col min="20" max="256" width="9.140625" style="64"/>
    <col min="257" max="257" width="18.7109375" style="64" bestFit="1" customWidth="1"/>
    <col min="258" max="258" width="12.7109375" style="64" bestFit="1" customWidth="1"/>
    <col min="259" max="273" width="12.7109375" style="64" customWidth="1"/>
    <col min="274" max="512" width="9.140625" style="64"/>
    <col min="513" max="513" width="18.7109375" style="64" bestFit="1" customWidth="1"/>
    <col min="514" max="514" width="12.7109375" style="64" bestFit="1" customWidth="1"/>
    <col min="515" max="529" width="12.7109375" style="64" customWidth="1"/>
    <col min="530" max="768" width="9.140625" style="64"/>
    <col min="769" max="769" width="18.7109375" style="64" bestFit="1" customWidth="1"/>
    <col min="770" max="770" width="12.7109375" style="64" bestFit="1" customWidth="1"/>
    <col min="771" max="785" width="12.7109375" style="64" customWidth="1"/>
    <col min="786" max="1024" width="9.140625" style="64"/>
    <col min="1025" max="1025" width="18.7109375" style="64" bestFit="1" customWidth="1"/>
    <col min="1026" max="1026" width="12.7109375" style="64" bestFit="1" customWidth="1"/>
    <col min="1027" max="1041" width="12.7109375" style="64" customWidth="1"/>
    <col min="1042" max="1280" width="9.140625" style="64"/>
    <col min="1281" max="1281" width="18.7109375" style="64" bestFit="1" customWidth="1"/>
    <col min="1282" max="1282" width="12.7109375" style="64" bestFit="1" customWidth="1"/>
    <col min="1283" max="1297" width="12.7109375" style="64" customWidth="1"/>
    <col min="1298" max="1536" width="9.140625" style="64"/>
    <col min="1537" max="1537" width="18.7109375" style="64" bestFit="1" customWidth="1"/>
    <col min="1538" max="1538" width="12.7109375" style="64" bestFit="1" customWidth="1"/>
    <col min="1539" max="1553" width="12.7109375" style="64" customWidth="1"/>
    <col min="1554" max="1792" width="9.140625" style="64"/>
    <col min="1793" max="1793" width="18.7109375" style="64" bestFit="1" customWidth="1"/>
    <col min="1794" max="1794" width="12.7109375" style="64" bestFit="1" customWidth="1"/>
    <col min="1795" max="1809" width="12.7109375" style="64" customWidth="1"/>
    <col min="1810" max="2048" width="9.140625" style="64"/>
    <col min="2049" max="2049" width="18.7109375" style="64" bestFit="1" customWidth="1"/>
    <col min="2050" max="2050" width="12.7109375" style="64" bestFit="1" customWidth="1"/>
    <col min="2051" max="2065" width="12.7109375" style="64" customWidth="1"/>
    <col min="2066" max="2304" width="9.140625" style="64"/>
    <col min="2305" max="2305" width="18.7109375" style="64" bestFit="1" customWidth="1"/>
    <col min="2306" max="2306" width="12.7109375" style="64" bestFit="1" customWidth="1"/>
    <col min="2307" max="2321" width="12.7109375" style="64" customWidth="1"/>
    <col min="2322" max="2560" width="9.140625" style="64"/>
    <col min="2561" max="2561" width="18.7109375" style="64" bestFit="1" customWidth="1"/>
    <col min="2562" max="2562" width="12.7109375" style="64" bestFit="1" customWidth="1"/>
    <col min="2563" max="2577" width="12.7109375" style="64" customWidth="1"/>
    <col min="2578" max="2816" width="9.140625" style="64"/>
    <col min="2817" max="2817" width="18.7109375" style="64" bestFit="1" customWidth="1"/>
    <col min="2818" max="2818" width="12.7109375" style="64" bestFit="1" customWidth="1"/>
    <col min="2819" max="2833" width="12.7109375" style="64" customWidth="1"/>
    <col min="2834" max="3072" width="9.140625" style="64"/>
    <col min="3073" max="3073" width="18.7109375" style="64" bestFit="1" customWidth="1"/>
    <col min="3074" max="3074" width="12.7109375" style="64" bestFit="1" customWidth="1"/>
    <col min="3075" max="3089" width="12.7109375" style="64" customWidth="1"/>
    <col min="3090" max="3328" width="9.140625" style="64"/>
    <col min="3329" max="3329" width="18.7109375" style="64" bestFit="1" customWidth="1"/>
    <col min="3330" max="3330" width="12.7109375" style="64" bestFit="1" customWidth="1"/>
    <col min="3331" max="3345" width="12.7109375" style="64" customWidth="1"/>
    <col min="3346" max="3584" width="9.140625" style="64"/>
    <col min="3585" max="3585" width="18.7109375" style="64" bestFit="1" customWidth="1"/>
    <col min="3586" max="3586" width="12.7109375" style="64" bestFit="1" customWidth="1"/>
    <col min="3587" max="3601" width="12.7109375" style="64" customWidth="1"/>
    <col min="3602" max="3840" width="9.140625" style="64"/>
    <col min="3841" max="3841" width="18.7109375" style="64" bestFit="1" customWidth="1"/>
    <col min="3842" max="3842" width="12.7109375" style="64" bestFit="1" customWidth="1"/>
    <col min="3843" max="3857" width="12.7109375" style="64" customWidth="1"/>
    <col min="3858" max="4096" width="9.140625" style="64"/>
    <col min="4097" max="4097" width="18.7109375" style="64" bestFit="1" customWidth="1"/>
    <col min="4098" max="4098" width="12.7109375" style="64" bestFit="1" customWidth="1"/>
    <col min="4099" max="4113" width="12.7109375" style="64" customWidth="1"/>
    <col min="4114" max="4352" width="9.140625" style="64"/>
    <col min="4353" max="4353" width="18.7109375" style="64" bestFit="1" customWidth="1"/>
    <col min="4354" max="4354" width="12.7109375" style="64" bestFit="1" customWidth="1"/>
    <col min="4355" max="4369" width="12.7109375" style="64" customWidth="1"/>
    <col min="4370" max="4608" width="9.140625" style="64"/>
    <col min="4609" max="4609" width="18.7109375" style="64" bestFit="1" customWidth="1"/>
    <col min="4610" max="4610" width="12.7109375" style="64" bestFit="1" customWidth="1"/>
    <col min="4611" max="4625" width="12.7109375" style="64" customWidth="1"/>
    <col min="4626" max="4864" width="9.140625" style="64"/>
    <col min="4865" max="4865" width="18.7109375" style="64" bestFit="1" customWidth="1"/>
    <col min="4866" max="4866" width="12.7109375" style="64" bestFit="1" customWidth="1"/>
    <col min="4867" max="4881" width="12.7109375" style="64" customWidth="1"/>
    <col min="4882" max="5120" width="9.140625" style="64"/>
    <col min="5121" max="5121" width="18.7109375" style="64" bestFit="1" customWidth="1"/>
    <col min="5122" max="5122" width="12.7109375" style="64" bestFit="1" customWidth="1"/>
    <col min="5123" max="5137" width="12.7109375" style="64" customWidth="1"/>
    <col min="5138" max="5376" width="9.140625" style="64"/>
    <col min="5377" max="5377" width="18.7109375" style="64" bestFit="1" customWidth="1"/>
    <col min="5378" max="5378" width="12.7109375" style="64" bestFit="1" customWidth="1"/>
    <col min="5379" max="5393" width="12.7109375" style="64" customWidth="1"/>
    <col min="5394" max="5632" width="9.140625" style="64"/>
    <col min="5633" max="5633" width="18.7109375" style="64" bestFit="1" customWidth="1"/>
    <col min="5634" max="5634" width="12.7109375" style="64" bestFit="1" customWidth="1"/>
    <col min="5635" max="5649" width="12.7109375" style="64" customWidth="1"/>
    <col min="5650" max="5888" width="9.140625" style="64"/>
    <col min="5889" max="5889" width="18.7109375" style="64" bestFit="1" customWidth="1"/>
    <col min="5890" max="5890" width="12.7109375" style="64" bestFit="1" customWidth="1"/>
    <col min="5891" max="5905" width="12.7109375" style="64" customWidth="1"/>
    <col min="5906" max="6144" width="9.140625" style="64"/>
    <col min="6145" max="6145" width="18.7109375" style="64" bestFit="1" customWidth="1"/>
    <col min="6146" max="6146" width="12.7109375" style="64" bestFit="1" customWidth="1"/>
    <col min="6147" max="6161" width="12.7109375" style="64" customWidth="1"/>
    <col min="6162" max="6400" width="9.140625" style="64"/>
    <col min="6401" max="6401" width="18.7109375" style="64" bestFit="1" customWidth="1"/>
    <col min="6402" max="6402" width="12.7109375" style="64" bestFit="1" customWidth="1"/>
    <col min="6403" max="6417" width="12.7109375" style="64" customWidth="1"/>
    <col min="6418" max="6656" width="9.140625" style="64"/>
    <col min="6657" max="6657" width="18.7109375" style="64" bestFit="1" customWidth="1"/>
    <col min="6658" max="6658" width="12.7109375" style="64" bestFit="1" customWidth="1"/>
    <col min="6659" max="6673" width="12.7109375" style="64" customWidth="1"/>
    <col min="6674" max="6912" width="9.140625" style="64"/>
    <col min="6913" max="6913" width="18.7109375" style="64" bestFit="1" customWidth="1"/>
    <col min="6914" max="6914" width="12.7109375" style="64" bestFit="1" customWidth="1"/>
    <col min="6915" max="6929" width="12.7109375" style="64" customWidth="1"/>
    <col min="6930" max="7168" width="9.140625" style="64"/>
    <col min="7169" max="7169" width="18.7109375" style="64" bestFit="1" customWidth="1"/>
    <col min="7170" max="7170" width="12.7109375" style="64" bestFit="1" customWidth="1"/>
    <col min="7171" max="7185" width="12.7109375" style="64" customWidth="1"/>
    <col min="7186" max="7424" width="9.140625" style="64"/>
    <col min="7425" max="7425" width="18.7109375" style="64" bestFit="1" customWidth="1"/>
    <col min="7426" max="7426" width="12.7109375" style="64" bestFit="1" customWidth="1"/>
    <col min="7427" max="7441" width="12.7109375" style="64" customWidth="1"/>
    <col min="7442" max="7680" width="9.140625" style="64"/>
    <col min="7681" max="7681" width="18.7109375" style="64" bestFit="1" customWidth="1"/>
    <col min="7682" max="7682" width="12.7109375" style="64" bestFit="1" customWidth="1"/>
    <col min="7683" max="7697" width="12.7109375" style="64" customWidth="1"/>
    <col min="7698" max="7936" width="9.140625" style="64"/>
    <col min="7937" max="7937" width="18.7109375" style="64" bestFit="1" customWidth="1"/>
    <col min="7938" max="7938" width="12.7109375" style="64" bestFit="1" customWidth="1"/>
    <col min="7939" max="7953" width="12.7109375" style="64" customWidth="1"/>
    <col min="7954" max="8192" width="9.140625" style="64"/>
    <col min="8193" max="8193" width="18.7109375" style="64" bestFit="1" customWidth="1"/>
    <col min="8194" max="8194" width="12.7109375" style="64" bestFit="1" customWidth="1"/>
    <col min="8195" max="8209" width="12.7109375" style="64" customWidth="1"/>
    <col min="8210" max="8448" width="9.140625" style="64"/>
    <col min="8449" max="8449" width="18.7109375" style="64" bestFit="1" customWidth="1"/>
    <col min="8450" max="8450" width="12.7109375" style="64" bestFit="1" customWidth="1"/>
    <col min="8451" max="8465" width="12.7109375" style="64" customWidth="1"/>
    <col min="8466" max="8704" width="9.140625" style="64"/>
    <col min="8705" max="8705" width="18.7109375" style="64" bestFit="1" customWidth="1"/>
    <col min="8706" max="8706" width="12.7109375" style="64" bestFit="1" customWidth="1"/>
    <col min="8707" max="8721" width="12.7109375" style="64" customWidth="1"/>
    <col min="8722" max="8960" width="9.140625" style="64"/>
    <col min="8961" max="8961" width="18.7109375" style="64" bestFit="1" customWidth="1"/>
    <col min="8962" max="8962" width="12.7109375" style="64" bestFit="1" customWidth="1"/>
    <col min="8963" max="8977" width="12.7109375" style="64" customWidth="1"/>
    <col min="8978" max="9216" width="9.140625" style="64"/>
    <col min="9217" max="9217" width="18.7109375" style="64" bestFit="1" customWidth="1"/>
    <col min="9218" max="9218" width="12.7109375" style="64" bestFit="1" customWidth="1"/>
    <col min="9219" max="9233" width="12.7109375" style="64" customWidth="1"/>
    <col min="9234" max="9472" width="9.140625" style="64"/>
    <col min="9473" max="9473" width="18.7109375" style="64" bestFit="1" customWidth="1"/>
    <col min="9474" max="9474" width="12.7109375" style="64" bestFit="1" customWidth="1"/>
    <col min="9475" max="9489" width="12.7109375" style="64" customWidth="1"/>
    <col min="9490" max="9728" width="9.140625" style="64"/>
    <col min="9729" max="9729" width="18.7109375" style="64" bestFit="1" customWidth="1"/>
    <col min="9730" max="9730" width="12.7109375" style="64" bestFit="1" customWidth="1"/>
    <col min="9731" max="9745" width="12.7109375" style="64" customWidth="1"/>
    <col min="9746" max="9984" width="9.140625" style="64"/>
    <col min="9985" max="9985" width="18.7109375" style="64" bestFit="1" customWidth="1"/>
    <col min="9986" max="9986" width="12.7109375" style="64" bestFit="1" customWidth="1"/>
    <col min="9987" max="10001" width="12.7109375" style="64" customWidth="1"/>
    <col min="10002" max="10240" width="9.140625" style="64"/>
    <col min="10241" max="10241" width="18.7109375" style="64" bestFit="1" customWidth="1"/>
    <col min="10242" max="10242" width="12.7109375" style="64" bestFit="1" customWidth="1"/>
    <col min="10243" max="10257" width="12.7109375" style="64" customWidth="1"/>
    <col min="10258" max="10496" width="9.140625" style="64"/>
    <col min="10497" max="10497" width="18.7109375" style="64" bestFit="1" customWidth="1"/>
    <col min="10498" max="10498" width="12.7109375" style="64" bestFit="1" customWidth="1"/>
    <col min="10499" max="10513" width="12.7109375" style="64" customWidth="1"/>
    <col min="10514" max="10752" width="9.140625" style="64"/>
    <col min="10753" max="10753" width="18.7109375" style="64" bestFit="1" customWidth="1"/>
    <col min="10754" max="10754" width="12.7109375" style="64" bestFit="1" customWidth="1"/>
    <col min="10755" max="10769" width="12.7109375" style="64" customWidth="1"/>
    <col min="10770" max="11008" width="9.140625" style="64"/>
    <col min="11009" max="11009" width="18.7109375" style="64" bestFit="1" customWidth="1"/>
    <col min="11010" max="11010" width="12.7109375" style="64" bestFit="1" customWidth="1"/>
    <col min="11011" max="11025" width="12.7109375" style="64" customWidth="1"/>
    <col min="11026" max="11264" width="9.140625" style="64"/>
    <col min="11265" max="11265" width="18.7109375" style="64" bestFit="1" customWidth="1"/>
    <col min="11266" max="11266" width="12.7109375" style="64" bestFit="1" customWidth="1"/>
    <col min="11267" max="11281" width="12.7109375" style="64" customWidth="1"/>
    <col min="11282" max="11520" width="9.140625" style="64"/>
    <col min="11521" max="11521" width="18.7109375" style="64" bestFit="1" customWidth="1"/>
    <col min="11522" max="11522" width="12.7109375" style="64" bestFit="1" customWidth="1"/>
    <col min="11523" max="11537" width="12.7109375" style="64" customWidth="1"/>
    <col min="11538" max="11776" width="9.140625" style="64"/>
    <col min="11777" max="11777" width="18.7109375" style="64" bestFit="1" customWidth="1"/>
    <col min="11778" max="11778" width="12.7109375" style="64" bestFit="1" customWidth="1"/>
    <col min="11779" max="11793" width="12.7109375" style="64" customWidth="1"/>
    <col min="11794" max="12032" width="9.140625" style="64"/>
    <col min="12033" max="12033" width="18.7109375" style="64" bestFit="1" customWidth="1"/>
    <col min="12034" max="12034" width="12.7109375" style="64" bestFit="1" customWidth="1"/>
    <col min="12035" max="12049" width="12.7109375" style="64" customWidth="1"/>
    <col min="12050" max="12288" width="9.140625" style="64"/>
    <col min="12289" max="12289" width="18.7109375" style="64" bestFit="1" customWidth="1"/>
    <col min="12290" max="12290" width="12.7109375" style="64" bestFit="1" customWidth="1"/>
    <col min="12291" max="12305" width="12.7109375" style="64" customWidth="1"/>
    <col min="12306" max="12544" width="9.140625" style="64"/>
    <col min="12545" max="12545" width="18.7109375" style="64" bestFit="1" customWidth="1"/>
    <col min="12546" max="12546" width="12.7109375" style="64" bestFit="1" customWidth="1"/>
    <col min="12547" max="12561" width="12.7109375" style="64" customWidth="1"/>
    <col min="12562" max="12800" width="9.140625" style="64"/>
    <col min="12801" max="12801" width="18.7109375" style="64" bestFit="1" customWidth="1"/>
    <col min="12802" max="12802" width="12.7109375" style="64" bestFit="1" customWidth="1"/>
    <col min="12803" max="12817" width="12.7109375" style="64" customWidth="1"/>
    <col min="12818" max="13056" width="9.140625" style="64"/>
    <col min="13057" max="13057" width="18.7109375" style="64" bestFit="1" customWidth="1"/>
    <col min="13058" max="13058" width="12.7109375" style="64" bestFit="1" customWidth="1"/>
    <col min="13059" max="13073" width="12.7109375" style="64" customWidth="1"/>
    <col min="13074" max="13312" width="9.140625" style="64"/>
    <col min="13313" max="13313" width="18.7109375" style="64" bestFit="1" customWidth="1"/>
    <col min="13314" max="13314" width="12.7109375" style="64" bestFit="1" customWidth="1"/>
    <col min="13315" max="13329" width="12.7109375" style="64" customWidth="1"/>
    <col min="13330" max="13568" width="9.140625" style="64"/>
    <col min="13569" max="13569" width="18.7109375" style="64" bestFit="1" customWidth="1"/>
    <col min="13570" max="13570" width="12.7109375" style="64" bestFit="1" customWidth="1"/>
    <col min="13571" max="13585" width="12.7109375" style="64" customWidth="1"/>
    <col min="13586" max="13824" width="9.140625" style="64"/>
    <col min="13825" max="13825" width="18.7109375" style="64" bestFit="1" customWidth="1"/>
    <col min="13826" max="13826" width="12.7109375" style="64" bestFit="1" customWidth="1"/>
    <col min="13827" max="13841" width="12.7109375" style="64" customWidth="1"/>
    <col min="13842" max="14080" width="9.140625" style="64"/>
    <col min="14081" max="14081" width="18.7109375" style="64" bestFit="1" customWidth="1"/>
    <col min="14082" max="14082" width="12.7109375" style="64" bestFit="1" customWidth="1"/>
    <col min="14083" max="14097" width="12.7109375" style="64" customWidth="1"/>
    <col min="14098" max="14336" width="9.140625" style="64"/>
    <col min="14337" max="14337" width="18.7109375" style="64" bestFit="1" customWidth="1"/>
    <col min="14338" max="14338" width="12.7109375" style="64" bestFit="1" customWidth="1"/>
    <col min="14339" max="14353" width="12.7109375" style="64" customWidth="1"/>
    <col min="14354" max="14592" width="9.140625" style="64"/>
    <col min="14593" max="14593" width="18.7109375" style="64" bestFit="1" customWidth="1"/>
    <col min="14594" max="14594" width="12.7109375" style="64" bestFit="1" customWidth="1"/>
    <col min="14595" max="14609" width="12.7109375" style="64" customWidth="1"/>
    <col min="14610" max="14848" width="9.140625" style="64"/>
    <col min="14849" max="14849" width="18.7109375" style="64" bestFit="1" customWidth="1"/>
    <col min="14850" max="14850" width="12.7109375" style="64" bestFit="1" customWidth="1"/>
    <col min="14851" max="14865" width="12.7109375" style="64" customWidth="1"/>
    <col min="14866" max="15104" width="9.140625" style="64"/>
    <col min="15105" max="15105" width="18.7109375" style="64" bestFit="1" customWidth="1"/>
    <col min="15106" max="15106" width="12.7109375" style="64" bestFit="1" customWidth="1"/>
    <col min="15107" max="15121" width="12.7109375" style="64" customWidth="1"/>
    <col min="15122" max="15360" width="9.140625" style="64"/>
    <col min="15361" max="15361" width="18.7109375" style="64" bestFit="1" customWidth="1"/>
    <col min="15362" max="15362" width="12.7109375" style="64" bestFit="1" customWidth="1"/>
    <col min="15363" max="15377" width="12.7109375" style="64" customWidth="1"/>
    <col min="15378" max="15616" width="9.140625" style="64"/>
    <col min="15617" max="15617" width="18.7109375" style="64" bestFit="1" customWidth="1"/>
    <col min="15618" max="15618" width="12.7109375" style="64" bestFit="1" customWidth="1"/>
    <col min="15619" max="15633" width="12.7109375" style="64" customWidth="1"/>
    <col min="15634" max="15872" width="9.140625" style="64"/>
    <col min="15873" max="15873" width="18.7109375" style="64" bestFit="1" customWidth="1"/>
    <col min="15874" max="15874" width="12.7109375" style="64" bestFit="1" customWidth="1"/>
    <col min="15875" max="15889" width="12.7109375" style="64" customWidth="1"/>
    <col min="15890" max="16128" width="9.140625" style="64"/>
    <col min="16129" max="16129" width="18.7109375" style="64" bestFit="1" customWidth="1"/>
    <col min="16130" max="16130" width="12.7109375" style="64" bestFit="1" customWidth="1"/>
    <col min="16131" max="16145" width="12.7109375" style="64" customWidth="1"/>
    <col min="16146" max="16384" width="9.140625" style="64"/>
  </cols>
  <sheetData>
    <row r="1" spans="1:19">
      <c r="B1" s="64"/>
      <c r="J1" s="63"/>
      <c r="M1" s="64" t="s">
        <v>353</v>
      </c>
      <c r="O1" s="64" t="s">
        <v>354</v>
      </c>
    </row>
    <row r="2" spans="1:19">
      <c r="A2" s="65" t="s">
        <v>355</v>
      </c>
      <c r="B2" s="66">
        <v>45658</v>
      </c>
      <c r="C2" s="66">
        <v>45293</v>
      </c>
      <c r="D2" s="66">
        <v>44927</v>
      </c>
      <c r="E2" s="66">
        <v>44562</v>
      </c>
      <c r="F2" s="66">
        <v>44198</v>
      </c>
      <c r="G2" s="66">
        <v>43831</v>
      </c>
      <c r="H2" s="66">
        <v>43466</v>
      </c>
      <c r="I2" s="66">
        <v>43102</v>
      </c>
      <c r="J2" s="66">
        <v>42736</v>
      </c>
      <c r="K2" s="66">
        <v>42370</v>
      </c>
      <c r="L2" s="66">
        <v>42006</v>
      </c>
      <c r="M2" s="66">
        <v>41642</v>
      </c>
      <c r="N2" s="66">
        <v>41278</v>
      </c>
      <c r="O2" s="66">
        <v>40913</v>
      </c>
      <c r="P2" s="66">
        <v>40549</v>
      </c>
      <c r="Q2" s="66">
        <v>40185</v>
      </c>
      <c r="R2" s="66"/>
      <c r="S2" s="67"/>
    </row>
    <row r="3" spans="1:19">
      <c r="A3" s="64" t="s">
        <v>356</v>
      </c>
      <c r="B3" s="180">
        <f>SUM('Final Page for Print'!C7:C11)</f>
        <v>13432749.678750001</v>
      </c>
      <c r="C3" s="68">
        <f>SUM('Final Page for Print'!B7:B11)</f>
        <v>12748836.449999999</v>
      </c>
      <c r="I3" s="63">
        <v>10326674.762671266</v>
      </c>
      <c r="J3" s="63">
        <v>9981817.2085999995</v>
      </c>
      <c r="K3" s="63">
        <v>9563489.9900000002</v>
      </c>
      <c r="L3" s="63">
        <v>8721341.379999999</v>
      </c>
      <c r="M3" s="63">
        <v>8210355</v>
      </c>
      <c r="N3" s="63">
        <v>7719477.3799999999</v>
      </c>
      <c r="O3" s="63">
        <v>7480697.3799999999</v>
      </c>
      <c r="P3" s="63">
        <v>7559403</v>
      </c>
      <c r="Q3" s="63">
        <v>7328194</v>
      </c>
      <c r="R3" s="63"/>
      <c r="S3" s="68">
        <f>SUM('Final Page for Print'!B7:B11)</f>
        <v>12748836.449999999</v>
      </c>
    </row>
    <row r="4" spans="1:19">
      <c r="A4" s="64" t="s">
        <v>357</v>
      </c>
      <c r="B4" s="68">
        <f>SUM('Final Page for Print'!C12:C19)</f>
        <v>5917330</v>
      </c>
      <c r="C4" s="68">
        <f>SUM('Final Page for Print'!B12:B19)</f>
        <v>5780886</v>
      </c>
      <c r="I4" s="63">
        <v>5268191</v>
      </c>
      <c r="J4" s="63">
        <v>5239314</v>
      </c>
      <c r="K4" s="63">
        <v>5152611</v>
      </c>
      <c r="L4" s="63">
        <v>5123038.2</v>
      </c>
      <c r="M4" s="63">
        <v>5094241</v>
      </c>
      <c r="N4" s="63">
        <v>5023365</v>
      </c>
      <c r="O4" s="63">
        <v>5005766.43</v>
      </c>
      <c r="P4" s="63">
        <v>6424971</v>
      </c>
      <c r="Q4" s="63">
        <v>6764104</v>
      </c>
      <c r="R4" s="63"/>
      <c r="S4" s="68">
        <f>SUM('Final Page for Print'!B12:B19)-'Final Page for Print'!F12</f>
        <v>4758340</v>
      </c>
    </row>
    <row r="5" spans="1:19">
      <c r="A5" s="64" t="s">
        <v>358</v>
      </c>
      <c r="B5" s="68">
        <f>SUM('Final Page for Print'!C20:C28)</f>
        <v>1407720</v>
      </c>
      <c r="C5" s="68">
        <f>SUM('Final Page for Print'!B20:B28)</f>
        <v>1369720</v>
      </c>
      <c r="I5" s="63">
        <v>1049436</v>
      </c>
      <c r="J5" s="63">
        <v>1047594</v>
      </c>
      <c r="K5" s="63">
        <v>1047594</v>
      </c>
      <c r="L5" s="63">
        <v>1012225</v>
      </c>
      <c r="M5" s="63">
        <v>1377601.2400000005</v>
      </c>
      <c r="N5" s="63">
        <v>1087302.6200000001</v>
      </c>
      <c r="O5" s="63">
        <v>949210</v>
      </c>
      <c r="P5" s="63">
        <v>933000</v>
      </c>
      <c r="Q5" s="63">
        <v>933000</v>
      </c>
      <c r="R5" s="63"/>
      <c r="S5" s="68">
        <f>SUM('Final Page for Print'!B20:B28)</f>
        <v>1369720</v>
      </c>
    </row>
    <row r="6" spans="1:19">
      <c r="A6" s="64" t="s">
        <v>449</v>
      </c>
      <c r="B6" s="68">
        <f>SUM('Final Page for Print'!C31)</f>
        <v>2747558</v>
      </c>
      <c r="C6" s="68">
        <f>SUM('Final Page for Print'!B31)</f>
        <v>2779717</v>
      </c>
      <c r="I6" s="63">
        <v>1867257</v>
      </c>
      <c r="J6" s="63">
        <v>2390551</v>
      </c>
      <c r="K6" s="63">
        <v>1996351</v>
      </c>
      <c r="L6" s="63">
        <v>1809175</v>
      </c>
      <c r="M6" s="63">
        <v>1736298.18</v>
      </c>
      <c r="N6" s="63">
        <v>1908234</v>
      </c>
      <c r="O6" s="63">
        <v>1710262</v>
      </c>
      <c r="P6" s="63">
        <v>162006</v>
      </c>
      <c r="Q6" s="63">
        <v>162006</v>
      </c>
      <c r="R6" s="63"/>
      <c r="S6" s="68">
        <f>SUM('Final Page for Print'!B29:B32)</f>
        <v>3821051</v>
      </c>
    </row>
    <row r="7" spans="1:19">
      <c r="A7" s="64" t="s">
        <v>450</v>
      </c>
      <c r="B7" s="68">
        <f>SUM('Final Page for Print'!C29)</f>
        <v>450000</v>
      </c>
      <c r="C7" s="68">
        <f>SUM('Final Page for Print'!B29)</f>
        <v>684500</v>
      </c>
      <c r="I7" s="63">
        <v>18511558.762671266</v>
      </c>
      <c r="J7" s="63">
        <v>18659276.2086</v>
      </c>
      <c r="K7" s="63">
        <v>17760045.990000002</v>
      </c>
      <c r="L7" s="63">
        <v>16665779.579999998</v>
      </c>
      <c r="M7" s="63">
        <v>16418495.42</v>
      </c>
      <c r="N7" s="63">
        <v>15738379</v>
      </c>
      <c r="O7" s="63">
        <v>15145935.809999999</v>
      </c>
      <c r="P7" s="63">
        <v>15079380</v>
      </c>
      <c r="Q7" s="63">
        <v>15187304</v>
      </c>
      <c r="R7" s="63"/>
      <c r="S7" s="68">
        <f>SUM(S3:S6)</f>
        <v>22697947.449999999</v>
      </c>
    </row>
    <row r="8" spans="1:19">
      <c r="A8" s="64" t="s">
        <v>451</v>
      </c>
      <c r="B8" s="68">
        <f>SUM('Final Page for Print'!C30,'Final Page for Print'!C32,'Final Page for Print'!C33,'Final Page for Print'!C34)</f>
        <v>865342</v>
      </c>
      <c r="C8" s="68">
        <f>SUM('Final Page for Print'!B30, 'Final Page for Print'!B32,'Final Page for Print'!B33)</f>
        <v>565576</v>
      </c>
    </row>
    <row r="9" spans="1:19">
      <c r="B9" s="180">
        <f>SUM(B3:B8)</f>
        <v>24820699.678750001</v>
      </c>
      <c r="C9" s="68">
        <f>SUM(C3:C8)</f>
        <v>23929235.449999999</v>
      </c>
    </row>
    <row r="18" spans="2:2">
      <c r="B18" s="181"/>
    </row>
    <row r="44" spans="1:1">
      <c r="A44" s="64" t="s">
        <v>359</v>
      </c>
    </row>
    <row r="45" spans="1:1">
      <c r="A45" s="64" t="s">
        <v>360</v>
      </c>
    </row>
  </sheetData>
  <printOptions horizontalCentered="1" verticalCentered="1"/>
  <pageMargins left="0" right="0.2" top="0.75" bottom="0.75" header="0.3" footer="0.3"/>
  <pageSetup scale="88" orientation="landscape" r:id="rId1"/>
  <headerFooter>
    <oddFooter>&amp;C&amp;P</oddFooter>
  </headerFooter>
  <rowBreaks count="1" manualBreakCount="1">
    <brk id="4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77"/>
  <sheetViews>
    <sheetView zoomScaleNormal="100" workbookViewId="0">
      <pane ySplit="5" topLeftCell="A6" activePane="bottomLeft" state="frozen"/>
      <selection activeCell="G34" sqref="G34"/>
      <selection pane="bottomLeft" activeCell="K466" sqref="K466"/>
    </sheetView>
  </sheetViews>
  <sheetFormatPr defaultRowHeight="15"/>
  <cols>
    <col min="1" max="1" width="58.7109375" customWidth="1"/>
    <col min="2" max="2" width="15.42578125" customWidth="1"/>
    <col min="3" max="3" width="0.140625" hidden="1" customWidth="1"/>
    <col min="4" max="4" width="16.7109375" customWidth="1"/>
    <col min="5" max="5" width="12.28515625" customWidth="1"/>
    <col min="7" max="7" width="15.140625" customWidth="1"/>
    <col min="8" max="8" width="15.5703125" customWidth="1"/>
    <col min="9" max="9" width="9.140625" customWidth="1"/>
  </cols>
  <sheetData>
    <row r="1" spans="1:5" ht="23.25">
      <c r="A1" s="268" t="s">
        <v>477</v>
      </c>
      <c r="B1" s="269"/>
      <c r="C1" s="269"/>
      <c r="D1" s="269"/>
      <c r="E1" s="269"/>
    </row>
    <row r="3" spans="1:5">
      <c r="B3" s="13"/>
      <c r="C3" s="14" t="e">
        <f>'APPENDIX A FOR INPUT'!#REF!</f>
        <v>#REF!</v>
      </c>
      <c r="D3" s="13"/>
    </row>
    <row r="4" spans="1:5">
      <c r="B4" s="13" t="s">
        <v>176</v>
      </c>
      <c r="C4" s="14" t="s">
        <v>175</v>
      </c>
      <c r="D4" s="13" t="s">
        <v>478</v>
      </c>
    </row>
    <row r="5" spans="1:5">
      <c r="B5" s="13" t="s">
        <v>480</v>
      </c>
      <c r="C5" s="14" t="e">
        <f>'APPENDIX A FOR INPUT'!#REF!</f>
        <v>#REF!</v>
      </c>
      <c r="D5" s="13" t="s">
        <v>479</v>
      </c>
    </row>
    <row r="7" spans="1:5" ht="18.75">
      <c r="A7" s="233" t="s">
        <v>539</v>
      </c>
    </row>
    <row r="8" spans="1:5" ht="15.75">
      <c r="A8" s="12" t="s">
        <v>205</v>
      </c>
      <c r="B8" s="12"/>
      <c r="C8" s="12"/>
      <c r="D8" s="214" t="s">
        <v>481</v>
      </c>
    </row>
    <row r="9" spans="1:5">
      <c r="A9" t="s">
        <v>339</v>
      </c>
    </row>
    <row r="10" spans="1:5">
      <c r="A10" s="15"/>
      <c r="B10" s="15"/>
      <c r="C10" s="15"/>
      <c r="D10" s="15"/>
    </row>
    <row r="11" spans="1:5">
      <c r="A11" s="15" t="s">
        <v>184</v>
      </c>
      <c r="B11" s="16">
        <f>'APPENDIX A FOR INPUT'!F11</f>
        <v>25000</v>
      </c>
      <c r="C11" s="16" t="e">
        <f>'APPENDIX A FOR INPUT'!#REF!</f>
        <v>#REF!</v>
      </c>
      <c r="D11" s="16">
        <f>'APPENDIX A FOR INPUT'!J11</f>
        <v>25000</v>
      </c>
    </row>
    <row r="12" spans="1:5">
      <c r="A12" s="15" t="s">
        <v>185</v>
      </c>
      <c r="B12" s="16">
        <f>B11</f>
        <v>25000</v>
      </c>
      <c r="C12" s="16" t="e">
        <f>C11</f>
        <v>#REF!</v>
      </c>
      <c r="D12" s="16">
        <f>D11</f>
        <v>25000</v>
      </c>
    </row>
    <row r="14" spans="1:5" hidden="1"/>
    <row r="15" spans="1:5" ht="15.75" hidden="1">
      <c r="A15" s="12" t="str">
        <f>'[1]town meeting'!A1</f>
        <v>DEPARTMENT NAME</v>
      </c>
      <c r="B15" s="12"/>
      <c r="C15" s="12"/>
      <c r="D15" s="12"/>
    </row>
    <row r="16" spans="1:5" hidden="1"/>
    <row r="17" spans="1:4" hidden="1">
      <c r="B17" s="13"/>
      <c r="C17" s="14" t="e">
        <f>'APPENDIX A FOR INPUT'!#REF!</f>
        <v>#REF!</v>
      </c>
    </row>
    <row r="18" spans="1:4" hidden="1">
      <c r="B18" s="13" t="s">
        <v>176</v>
      </c>
      <c r="C18" s="14" t="s">
        <v>175</v>
      </c>
      <c r="D18" s="13" t="s">
        <v>177</v>
      </c>
    </row>
    <row r="19" spans="1:4" hidden="1">
      <c r="A19" t="str">
        <f>'[1]town meeting'!B5</f>
        <v>ACCOUNT NAME</v>
      </c>
      <c r="B19" s="13" t="e">
        <f>'APPENDIX A FOR INPUT'!#REF!</f>
        <v>#REF!</v>
      </c>
      <c r="C19" s="14" t="e">
        <f>'APPENDIX A FOR INPUT'!#REF!</f>
        <v>#REF!</v>
      </c>
      <c r="D19" s="13" t="s">
        <v>178</v>
      </c>
    </row>
    <row r="20" spans="1:4" hidden="1">
      <c r="A20" s="15"/>
      <c r="B20" s="15"/>
      <c r="C20" s="15"/>
      <c r="D20" s="15"/>
    </row>
    <row r="21" spans="1:4" hidden="1">
      <c r="A21" s="15" t="s">
        <v>184</v>
      </c>
      <c r="B21" s="16" t="e">
        <f>'APPENDIX A FOR INPUT'!#REF!</f>
        <v>#REF!</v>
      </c>
      <c r="C21" s="16" t="e">
        <f>'APPENDIX A FOR INPUT'!#REF!</f>
        <v>#REF!</v>
      </c>
      <c r="D21" s="16" t="e">
        <f>'APPENDIX A FOR INPUT'!#REF!</f>
        <v>#REF!</v>
      </c>
    </row>
    <row r="22" spans="1:4" hidden="1">
      <c r="A22" s="15" t="s">
        <v>185</v>
      </c>
      <c r="B22" s="16" t="e">
        <f>B21</f>
        <v>#REF!</v>
      </c>
      <c r="C22" s="16" t="e">
        <f>C21</f>
        <v>#REF!</v>
      </c>
      <c r="D22" s="16" t="e">
        <f>D21</f>
        <v>#REF!</v>
      </c>
    </row>
    <row r="23" spans="1:4" hidden="1"/>
    <row r="25" spans="1:4" ht="15.75">
      <c r="A25" s="12" t="s">
        <v>205</v>
      </c>
      <c r="B25" s="12"/>
      <c r="C25" s="12"/>
      <c r="D25" s="215" t="s">
        <v>482</v>
      </c>
    </row>
    <row r="26" spans="1:4">
      <c r="A26" t="s">
        <v>339</v>
      </c>
      <c r="B26" s="13"/>
      <c r="C26" s="14" t="e">
        <f>'APPENDIX A FOR INPUT'!#REF!</f>
        <v>#REF!</v>
      </c>
      <c r="D26" s="13"/>
    </row>
    <row r="27" spans="1:4">
      <c r="A27" s="15"/>
      <c r="B27" s="16"/>
      <c r="C27" s="16"/>
      <c r="D27" s="16"/>
    </row>
    <row r="28" spans="1:4">
      <c r="A28" s="15" t="s">
        <v>186</v>
      </c>
      <c r="B28" s="16">
        <f>'APPENDIX A FOR INPUT'!F16</f>
        <v>102</v>
      </c>
      <c r="C28" s="16" t="e">
        <f>'APPENDIX A FOR INPUT'!#REF!</f>
        <v>#REF!</v>
      </c>
      <c r="D28" s="16">
        <f>'APPENDIX A FOR INPUT'!J16</f>
        <v>102</v>
      </c>
    </row>
    <row r="29" spans="1:4">
      <c r="A29" s="15" t="s">
        <v>184</v>
      </c>
      <c r="B29" s="16">
        <f>'APPENDIX A FOR INPUT'!F17</f>
        <v>3200</v>
      </c>
      <c r="C29" s="16" t="e">
        <f>SUM('APPENDIX A FOR INPUT'!#REF!)</f>
        <v>#REF!</v>
      </c>
      <c r="D29" s="16">
        <f>SUM('APPENDIX A FOR INPUT'!J17:J17)</f>
        <v>3200</v>
      </c>
    </row>
    <row r="30" spans="1:4">
      <c r="A30" s="15" t="str">
        <f>[1]moderator!B11</f>
        <v>Total</v>
      </c>
      <c r="B30" s="16">
        <f>SUM(B28:B29)</f>
        <v>3302</v>
      </c>
      <c r="C30" s="16" t="e">
        <f>SUM(C28:C29)</f>
        <v>#REF!</v>
      </c>
      <c r="D30" s="16">
        <f>SUM(D28:D29)</f>
        <v>3302</v>
      </c>
    </row>
    <row r="33" spans="1:7" ht="15.75">
      <c r="A33" s="12" t="s">
        <v>205</v>
      </c>
      <c r="B33" s="12"/>
      <c r="C33" s="12"/>
      <c r="D33" s="215" t="s">
        <v>483</v>
      </c>
    </row>
    <row r="34" spans="1:7">
      <c r="A34" t="s">
        <v>339</v>
      </c>
      <c r="B34" s="13"/>
      <c r="C34" s="14" t="e">
        <f>'APPENDIX A FOR INPUT'!#REF!</f>
        <v>#REF!</v>
      </c>
      <c r="D34" s="13"/>
    </row>
    <row r="35" spans="1:7">
      <c r="A35" s="15"/>
      <c r="B35" s="16"/>
      <c r="C35" s="16"/>
      <c r="D35" s="16"/>
    </row>
    <row r="36" spans="1:7">
      <c r="A36" s="15" t="s">
        <v>316</v>
      </c>
      <c r="B36" s="16">
        <v>12000</v>
      </c>
      <c r="C36" s="16" t="e">
        <f>SUM('APPENDIX A FOR INPUT'!#REF!)</f>
        <v>#REF!</v>
      </c>
      <c r="D36" s="16">
        <f>SUM('APPENDIX A FOR INPUT'!J22)</f>
        <v>12000</v>
      </c>
    </row>
    <row r="37" spans="1:7">
      <c r="A37" s="15" t="s">
        <v>187</v>
      </c>
      <c r="B37" s="16">
        <f>SUM('APPENDIX A FOR INPUT'!J23:J25)</f>
        <v>110433.92</v>
      </c>
      <c r="C37" s="219" t="e">
        <f>SUM('APPENDIX A FOR INPUT'!#REF!)</f>
        <v>#REF!</v>
      </c>
      <c r="D37" s="219">
        <f>SUM('APPENDIX A FOR INPUT'!J23:J25)</f>
        <v>110433.92</v>
      </c>
    </row>
    <row r="38" spans="1:7">
      <c r="A38" s="15" t="s">
        <v>184</v>
      </c>
      <c r="B38" s="260">
        <f>SUM(2000+6500+100+1200+5000)</f>
        <v>14800</v>
      </c>
      <c r="C38" s="222">
        <f>SUM('APPENDIX A FOR INPUT'!F26:F30)</f>
        <v>9243</v>
      </c>
      <c r="D38" s="222">
        <f>SUM('APPENDIX A FOR INPUT'!J26:J31)</f>
        <v>10600</v>
      </c>
      <c r="G38" s="263"/>
    </row>
    <row r="39" spans="1:7">
      <c r="A39" s="15" t="s">
        <v>185</v>
      </c>
      <c r="B39" s="260">
        <f>SUM(B36:B38)</f>
        <v>137233.91999999998</v>
      </c>
      <c r="C39" s="222" t="e">
        <f>SUM(C36:C38)</f>
        <v>#REF!</v>
      </c>
      <c r="D39" s="222">
        <f>SUM(D36:D38)</f>
        <v>133033.91999999998</v>
      </c>
      <c r="G39" s="263"/>
    </row>
    <row r="40" spans="1:7">
      <c r="C40" s="265"/>
      <c r="G40" s="263"/>
    </row>
    <row r="41" spans="1:7">
      <c r="G41" s="263"/>
    </row>
    <row r="42" spans="1:7" ht="15.75">
      <c r="A42" s="12" t="s">
        <v>205</v>
      </c>
      <c r="B42" s="12"/>
      <c r="C42" s="12"/>
      <c r="D42" s="215" t="s">
        <v>484</v>
      </c>
    </row>
    <row r="43" spans="1:7">
      <c r="A43" t="s">
        <v>339</v>
      </c>
      <c r="B43" s="13"/>
      <c r="C43" s="14" t="e">
        <f>'APPENDIX A FOR INPUT'!#REF!</f>
        <v>#REF!</v>
      </c>
      <c r="D43" s="13"/>
    </row>
    <row r="44" spans="1:7">
      <c r="A44" s="15"/>
      <c r="B44" s="260"/>
      <c r="C44" s="222"/>
      <c r="D44" s="222"/>
    </row>
    <row r="45" spans="1:7">
      <c r="A45" s="15" t="s">
        <v>184</v>
      </c>
      <c r="B45" s="260">
        <f>SUM('APPENDIX A FOR INPUT'!F36:F39)</f>
        <v>1330</v>
      </c>
      <c r="C45" s="222">
        <f>SUM('APPENDIX A FOR INPUT'!F36:F39)</f>
        <v>1330</v>
      </c>
      <c r="D45" s="222">
        <f>SUM('APPENDIX A FOR INPUT'!J36:J39)</f>
        <v>1330</v>
      </c>
      <c r="G45" s="263"/>
    </row>
    <row r="46" spans="1:7" hidden="1">
      <c r="A46" s="15" t="s">
        <v>185</v>
      </c>
      <c r="B46" s="260">
        <f>SUM(B45:B45)</f>
        <v>1330</v>
      </c>
      <c r="C46" s="222">
        <f>SUM(C45:C45)</f>
        <v>1330</v>
      </c>
      <c r="D46" s="222">
        <f>SUM(D45:D45)</f>
        <v>1330</v>
      </c>
      <c r="G46" s="263"/>
    </row>
    <row r="47" spans="1:7" hidden="1">
      <c r="G47" s="263"/>
    </row>
    <row r="48" spans="1:7">
      <c r="A48" s="4" t="s">
        <v>185</v>
      </c>
      <c r="B48" s="264">
        <v>1330</v>
      </c>
      <c r="C48" s="264"/>
      <c r="D48" s="264">
        <v>1330</v>
      </c>
      <c r="G48" s="263"/>
    </row>
    <row r="49" spans="1:4">
      <c r="C49" s="265"/>
    </row>
    <row r="50" spans="1:4" ht="15.75">
      <c r="A50" s="12" t="s">
        <v>205</v>
      </c>
      <c r="B50" s="12"/>
      <c r="C50" s="258"/>
      <c r="D50" s="266" t="s">
        <v>485</v>
      </c>
    </row>
    <row r="51" spans="1:4">
      <c r="A51" t="s">
        <v>339</v>
      </c>
      <c r="B51" s="13"/>
      <c r="C51" s="14" t="e">
        <f>'APPENDIX A FOR INPUT'!#REF!</f>
        <v>#REF!</v>
      </c>
      <c r="D51" s="13"/>
    </row>
    <row r="52" spans="1:4">
      <c r="A52" s="15"/>
      <c r="B52" s="16"/>
      <c r="C52" s="16"/>
      <c r="D52" s="16"/>
    </row>
    <row r="53" spans="1:4">
      <c r="A53" s="15" t="s">
        <v>187</v>
      </c>
      <c r="B53" s="16">
        <f>59500+25000</f>
        <v>84500</v>
      </c>
      <c r="C53" s="16">
        <f>SUM('APPENDIX A FOR INPUT'!F46:F47)</f>
        <v>89295</v>
      </c>
      <c r="D53" s="16">
        <f>SUM('APPENDIX A FOR INPUT'!J46:J47)</f>
        <v>84500</v>
      </c>
    </row>
    <row r="54" spans="1:4">
      <c r="A54" s="15" t="s">
        <v>184</v>
      </c>
      <c r="B54" s="16">
        <f>SUM(29000+5000+750+100+150+1500+100)</f>
        <v>36600</v>
      </c>
      <c r="C54" s="16">
        <f>SUM('APPENDIX A FOR INPUT'!F48:F52)</f>
        <v>29750</v>
      </c>
      <c r="D54" s="16">
        <f>SUM('APPENDIX A FOR INPUT'!J48:J55)</f>
        <v>36600</v>
      </c>
    </row>
    <row r="55" spans="1:4">
      <c r="A55" s="15" t="s">
        <v>188</v>
      </c>
      <c r="B55" s="16">
        <f>'APPENDIX A FOR INPUT'!F53</f>
        <v>0</v>
      </c>
      <c r="C55" s="16">
        <f>'APPENDIX A FOR INPUT'!F53</f>
        <v>0</v>
      </c>
      <c r="D55" s="16">
        <v>0</v>
      </c>
    </row>
    <row r="56" spans="1:4">
      <c r="A56" s="15" t="s">
        <v>185</v>
      </c>
      <c r="B56" s="16">
        <f>SUM(B53:B55)</f>
        <v>121100</v>
      </c>
      <c r="C56" s="16">
        <f>SUM(C53:C55)</f>
        <v>119045</v>
      </c>
      <c r="D56" s="16">
        <f>SUM(D53:D55)</f>
        <v>121100</v>
      </c>
    </row>
    <row r="59" spans="1:4" ht="15.75">
      <c r="A59" s="12" t="s">
        <v>205</v>
      </c>
      <c r="B59" s="12"/>
      <c r="C59" s="12"/>
      <c r="D59" s="215" t="s">
        <v>486</v>
      </c>
    </row>
    <row r="60" spans="1:4">
      <c r="A60" t="s">
        <v>339</v>
      </c>
      <c r="B60" s="13"/>
      <c r="C60" s="14" t="e">
        <f>'APPENDIX A FOR INPUT'!#REF!</f>
        <v>#REF!</v>
      </c>
      <c r="D60" s="13"/>
    </row>
    <row r="61" spans="1:4">
      <c r="A61" s="15"/>
      <c r="B61" s="16"/>
      <c r="C61" s="16"/>
      <c r="D61" s="16"/>
    </row>
    <row r="62" spans="1:4">
      <c r="A62" s="15" t="s">
        <v>316</v>
      </c>
      <c r="B62" s="16">
        <v>12240</v>
      </c>
      <c r="C62" s="16">
        <f>SUM('APPENDIX A FOR INPUT'!F59)</f>
        <v>11545</v>
      </c>
      <c r="D62" s="16">
        <f>SUM('APPENDIX A FOR INPUT'!J59)</f>
        <v>12240</v>
      </c>
    </row>
    <row r="63" spans="1:4">
      <c r="A63" s="15" t="s">
        <v>187</v>
      </c>
      <c r="B63" s="16">
        <f>SUM(36000+10353+1035)</f>
        <v>47388</v>
      </c>
      <c r="C63" s="16">
        <f>SUM('APPENDIX A FOR INPUT'!F61:F63)</f>
        <v>10835</v>
      </c>
      <c r="D63" s="16">
        <f>SUM('APPENDIX A FOR INPUT'!J60:J62)</f>
        <v>46353</v>
      </c>
    </row>
    <row r="64" spans="1:4">
      <c r="A64" s="15" t="s">
        <v>184</v>
      </c>
      <c r="B64" s="16">
        <f>SUM(10835+7500+3000+6000+16000+7680+800)</f>
        <v>51815</v>
      </c>
      <c r="C64" s="16">
        <f>SUM('APPENDIX A FOR INPUT'!F64:F70)</f>
        <v>27880</v>
      </c>
      <c r="D64" s="16">
        <f>SUM('APPENDIX A FOR INPUT'!J63:J73)</f>
        <v>51315</v>
      </c>
    </row>
    <row r="65" spans="1:4">
      <c r="A65" s="15" t="s">
        <v>188</v>
      </c>
      <c r="B65" s="17">
        <f>'APPENDIX A FOR INPUT'!F72</f>
        <v>0</v>
      </c>
      <c r="C65" s="17">
        <f>'APPENDIX A FOR INPUT'!F72</f>
        <v>0</v>
      </c>
      <c r="D65" s="17">
        <f>'APPENDIX A FOR INPUT'!J72</f>
        <v>0</v>
      </c>
    </row>
    <row r="66" spans="1:4">
      <c r="A66" s="15" t="s">
        <v>185</v>
      </c>
      <c r="B66" s="16">
        <f>SUM(B62:B65)</f>
        <v>111443</v>
      </c>
      <c r="C66" s="16">
        <f>SUM(C62:C65)</f>
        <v>50260</v>
      </c>
      <c r="D66" s="16">
        <f>SUM(D62:D65)</f>
        <v>109908</v>
      </c>
    </row>
    <row r="69" spans="1:4" ht="15.75">
      <c r="A69" s="12" t="s">
        <v>205</v>
      </c>
      <c r="B69" s="12"/>
      <c r="C69" s="12"/>
      <c r="D69" s="215" t="s">
        <v>487</v>
      </c>
    </row>
    <row r="70" spans="1:4">
      <c r="A70" t="s">
        <v>339</v>
      </c>
      <c r="B70" s="13"/>
      <c r="C70" s="14" t="e">
        <f>'APPENDIX A FOR INPUT'!#REF!</f>
        <v>#REF!</v>
      </c>
      <c r="D70" s="13"/>
    </row>
    <row r="71" spans="1:4">
      <c r="A71" s="15"/>
      <c r="B71" s="16"/>
      <c r="C71" s="16"/>
      <c r="D71" s="16"/>
    </row>
    <row r="72" spans="1:4">
      <c r="A72" s="15" t="s">
        <v>316</v>
      </c>
      <c r="B72" s="16">
        <v>34198</v>
      </c>
      <c r="C72" s="16">
        <f>SUM('APPENDIX A FOR INPUT'!F79)</f>
        <v>31698</v>
      </c>
      <c r="D72" s="16">
        <f>SUM('APPENDIX A FOR INPUT'!J79)</f>
        <v>35198</v>
      </c>
    </row>
    <row r="73" spans="1:4">
      <c r="A73" s="15" t="s">
        <v>187</v>
      </c>
      <c r="B73" s="16">
        <f>26302+21000</f>
        <v>47302</v>
      </c>
      <c r="C73" s="16">
        <f>SUM('APPENDIX A FOR INPUT'!F80:F82)</f>
        <v>44628</v>
      </c>
      <c r="D73" s="16">
        <f>SUM('APPENDIX A FOR INPUT'!J80:J82)</f>
        <v>50341.599999999999</v>
      </c>
    </row>
    <row r="74" spans="1:4">
      <c r="A74" s="15" t="s">
        <v>184</v>
      </c>
      <c r="B74" s="16">
        <f>6000+1200+6700+9000+1000</f>
        <v>23900</v>
      </c>
      <c r="C74" s="16">
        <f>SUM('APPENDIX A FOR INPUT'!F83:F86)</f>
        <v>20815</v>
      </c>
      <c r="D74" s="16">
        <f>SUM('APPENDIX A FOR INPUT'!J83:J88)</f>
        <v>20200</v>
      </c>
    </row>
    <row r="75" spans="1:4">
      <c r="A75" s="15" t="s">
        <v>188</v>
      </c>
      <c r="B75" s="16">
        <f>'APPENDIX A FOR INPUT'!F87</f>
        <v>0</v>
      </c>
      <c r="C75" s="16">
        <f>'APPENDIX A FOR INPUT'!F87</f>
        <v>0</v>
      </c>
      <c r="D75" s="16">
        <f>'APPENDIX A FOR INPUT'!J87</f>
        <v>0</v>
      </c>
    </row>
    <row r="76" spans="1:4">
      <c r="A76" s="15" t="s">
        <v>185</v>
      </c>
      <c r="B76" s="16">
        <f>SUM(B72:B75)</f>
        <v>105400</v>
      </c>
      <c r="C76" s="16">
        <f>SUM(C72:C75)</f>
        <v>97141</v>
      </c>
      <c r="D76" s="16">
        <f>SUM(D72:D75)</f>
        <v>105739.6</v>
      </c>
    </row>
    <row r="79" spans="1:4" ht="15.75">
      <c r="A79" s="12" t="s">
        <v>205</v>
      </c>
      <c r="B79" s="18"/>
      <c r="C79" s="18"/>
      <c r="D79" s="215" t="s">
        <v>488</v>
      </c>
    </row>
    <row r="80" spans="1:4">
      <c r="A80" t="s">
        <v>339</v>
      </c>
      <c r="B80" s="13"/>
      <c r="C80" s="14" t="e">
        <f>'APPENDIX A FOR INPUT'!#REF!</f>
        <v>#REF!</v>
      </c>
      <c r="D80" s="13"/>
    </row>
    <row r="81" spans="1:4">
      <c r="A81" s="15"/>
      <c r="B81" s="16"/>
      <c r="C81" s="16"/>
      <c r="D81" s="16"/>
    </row>
    <row r="82" spans="1:4">
      <c r="A82" s="15" t="s">
        <v>187</v>
      </c>
      <c r="B82" s="16">
        <v>35198</v>
      </c>
      <c r="C82" s="16">
        <f>SUM('APPENDIX A FOR INPUT'!F92)</f>
        <v>31698</v>
      </c>
      <c r="D82" s="16">
        <f>SUM('APPENDIX A FOR INPUT'!J92)</f>
        <v>35198</v>
      </c>
    </row>
    <row r="83" spans="1:4">
      <c r="A83" s="15" t="s">
        <v>187</v>
      </c>
      <c r="B83" s="16">
        <v>26302</v>
      </c>
      <c r="C83" s="16">
        <f>SUM('APPENDIX A FOR INPUT'!F93:F94)</f>
        <v>31508</v>
      </c>
      <c r="D83" s="16">
        <f>SUM('APPENDIX A FOR INPUT'!J93:J94)</f>
        <v>26500</v>
      </c>
    </row>
    <row r="84" spans="1:4">
      <c r="A84" s="15" t="s">
        <v>184</v>
      </c>
      <c r="B84" s="16">
        <f>10000+1500+4000+1000</f>
        <v>16500</v>
      </c>
      <c r="C84" s="16">
        <f>SUM('APPENDIX A FOR INPUT'!F95:F97)</f>
        <v>13765</v>
      </c>
      <c r="D84" s="16">
        <f>SUM('APPENDIX A FOR INPUT'!J95:J98)</f>
        <v>16500</v>
      </c>
    </row>
    <row r="85" spans="1:4">
      <c r="A85" s="15" t="s">
        <v>188</v>
      </c>
      <c r="B85" s="16">
        <f>'APPENDIX A FOR INPUT'!F98</f>
        <v>1000</v>
      </c>
      <c r="C85" s="16">
        <f>'APPENDIX A FOR INPUT'!F98</f>
        <v>1000</v>
      </c>
      <c r="D85" s="16">
        <f>'APPENDIX A FOR INPUT'!J98</f>
        <v>1000</v>
      </c>
    </row>
    <row r="86" spans="1:4">
      <c r="A86" s="15" t="s">
        <v>185</v>
      </c>
      <c r="B86" s="16">
        <f>SUM(B82:B85)</f>
        <v>79000</v>
      </c>
      <c r="C86" s="16">
        <f>SUM(C82:C85)</f>
        <v>77971</v>
      </c>
      <c r="D86" s="16">
        <f>SUM(D82:D85)</f>
        <v>79198</v>
      </c>
    </row>
    <row r="89" spans="1:4" ht="15.75">
      <c r="A89" s="12" t="s">
        <v>205</v>
      </c>
      <c r="B89" s="12"/>
      <c r="C89" s="12"/>
      <c r="D89" s="215" t="s">
        <v>489</v>
      </c>
    </row>
    <row r="90" spans="1:4">
      <c r="A90" t="s">
        <v>339</v>
      </c>
      <c r="B90" s="13"/>
      <c r="C90" s="14" t="e">
        <f>'APPENDIX A FOR INPUT'!#REF!</f>
        <v>#REF!</v>
      </c>
      <c r="D90" s="13"/>
    </row>
    <row r="91" spans="1:4">
      <c r="A91" s="15"/>
      <c r="B91" s="16"/>
      <c r="C91" s="16"/>
      <c r="D91" s="16"/>
    </row>
    <row r="92" spans="1:4">
      <c r="A92" s="15" t="s">
        <v>184</v>
      </c>
      <c r="B92" s="16">
        <v>75000</v>
      </c>
      <c r="C92" s="16">
        <f>SUM('APPENDIX A FOR INPUT'!F103:F104)</f>
        <v>46568</v>
      </c>
      <c r="D92" s="16">
        <f>SUM('APPENDIX A FOR INPUT'!J103:J104)</f>
        <v>55000</v>
      </c>
    </row>
    <row r="93" spans="1:4">
      <c r="A93" s="15" t="s">
        <v>185</v>
      </c>
      <c r="B93" s="16">
        <f>B92</f>
        <v>75000</v>
      </c>
      <c r="C93" s="16">
        <f>C92</f>
        <v>46568</v>
      </c>
      <c r="D93" s="16">
        <f>D92</f>
        <v>55000</v>
      </c>
    </row>
    <row r="94" spans="1:4">
      <c r="B94" s="19"/>
      <c r="C94" s="19"/>
      <c r="D94" s="19"/>
    </row>
    <row r="96" spans="1:4" ht="15.75">
      <c r="A96" s="12" t="s">
        <v>205</v>
      </c>
      <c r="B96" s="12"/>
      <c r="C96" s="12"/>
      <c r="D96" s="215" t="s">
        <v>490</v>
      </c>
    </row>
    <row r="97" spans="1:4">
      <c r="A97" t="s">
        <v>339</v>
      </c>
      <c r="B97" s="13"/>
      <c r="C97" s="14" t="e">
        <f>'APPENDIX A FOR INPUT'!#REF!</f>
        <v>#REF!</v>
      </c>
      <c r="D97" s="13"/>
    </row>
    <row r="98" spans="1:4">
      <c r="A98" s="15"/>
      <c r="B98" s="16"/>
      <c r="C98" s="16"/>
      <c r="D98" s="16"/>
    </row>
    <row r="99" spans="1:4">
      <c r="A99" s="15" t="s">
        <v>187</v>
      </c>
      <c r="B99" s="16">
        <f>'APPENDIX A FOR INPUT'!F109</f>
        <v>0</v>
      </c>
      <c r="C99" s="16">
        <f>'APPENDIX A FOR INPUT'!F109</f>
        <v>0</v>
      </c>
      <c r="D99" s="16">
        <f>'APPENDIX A FOR INPUT'!J109</f>
        <v>0</v>
      </c>
    </row>
    <row r="100" spans="1:4">
      <c r="A100" s="15" t="s">
        <v>184</v>
      </c>
      <c r="B100" s="16">
        <f>25794+17000+10800+10000+4724+18000+4300</f>
        <v>90618</v>
      </c>
      <c r="C100" s="16">
        <f>SUM('APPENDIX A FOR INPUT'!F110:F118)</f>
        <v>88818</v>
      </c>
      <c r="D100" s="16">
        <f>SUM('APPENDIX A FOR INPUT'!J110:J118)</f>
        <v>90618</v>
      </c>
    </row>
    <row r="101" spans="1:4">
      <c r="A101" s="15" t="s">
        <v>188</v>
      </c>
      <c r="B101" s="16">
        <f>'APPENDIX A FOR INPUT'!F119</f>
        <v>5000</v>
      </c>
      <c r="C101" s="16">
        <f>'APPENDIX A FOR INPUT'!F119</f>
        <v>5000</v>
      </c>
      <c r="D101" s="16">
        <f>'APPENDIX A FOR INPUT'!J119+'APPENDIX A FOR INPUT'!J120</f>
        <v>8000</v>
      </c>
    </row>
    <row r="102" spans="1:4">
      <c r="A102" s="15" t="s">
        <v>185</v>
      </c>
      <c r="B102" s="16">
        <f>SUM(B99:B101)</f>
        <v>95618</v>
      </c>
      <c r="C102" s="16">
        <f>SUM(C99:C101)</f>
        <v>93818</v>
      </c>
      <c r="D102" s="16">
        <f>SUM(D99:D101)</f>
        <v>98618</v>
      </c>
    </row>
    <row r="105" spans="1:4" ht="15.75">
      <c r="A105" s="12" t="s">
        <v>205</v>
      </c>
      <c r="B105" s="12"/>
      <c r="C105" s="12"/>
      <c r="D105" s="215" t="s">
        <v>491</v>
      </c>
    </row>
    <row r="106" spans="1:4">
      <c r="A106" t="s">
        <v>339</v>
      </c>
      <c r="B106" s="13"/>
      <c r="C106" s="14" t="e">
        <f>'APPENDIX A FOR INPUT'!#REF!</f>
        <v>#REF!</v>
      </c>
      <c r="D106" s="13"/>
    </row>
    <row r="107" spans="1:4">
      <c r="A107" s="16"/>
      <c r="B107" s="16"/>
      <c r="C107" s="16"/>
      <c r="D107" s="16"/>
    </row>
    <row r="108" spans="1:4">
      <c r="A108" s="15" t="s">
        <v>316</v>
      </c>
      <c r="B108" s="16">
        <v>36000</v>
      </c>
      <c r="C108" s="16">
        <f>SUM('APPENDIX A FOR INPUT'!F124)</f>
        <v>31698</v>
      </c>
      <c r="D108" s="16">
        <f>SUM('APPENDIX A FOR INPUT'!J124)</f>
        <v>35198</v>
      </c>
    </row>
    <row r="109" spans="1:4">
      <c r="A109" s="15" t="s">
        <v>187</v>
      </c>
      <c r="B109" s="16">
        <f>27100+250</f>
        <v>27350</v>
      </c>
      <c r="C109" s="16">
        <f>SUM('APPENDIX A FOR INPUT'!F125:F126)</f>
        <v>21542</v>
      </c>
      <c r="D109" s="16">
        <f>SUM('APPENDIX A FOR INPUT'!J125:J126)</f>
        <v>27350</v>
      </c>
    </row>
    <row r="110" spans="1:4">
      <c r="A110" s="15" t="s">
        <v>184</v>
      </c>
      <c r="B110" s="16">
        <f>1000+1450+3400+1500+650</f>
        <v>8000</v>
      </c>
      <c r="C110" s="16">
        <f>SUM('APPENDIX A FOR INPUT'!F127:F132)</f>
        <v>6700</v>
      </c>
      <c r="D110" s="16">
        <f>SUM('APPENDIX A FOR INPUT'!J127:J132)</f>
        <v>8000</v>
      </c>
    </row>
    <row r="111" spans="1:4">
      <c r="A111" s="15" t="s">
        <v>188</v>
      </c>
      <c r="B111" s="16">
        <f>'APPENDIX A FOR INPUT'!F133</f>
        <v>1000</v>
      </c>
      <c r="C111" s="16">
        <f>'APPENDIX A FOR INPUT'!F133</f>
        <v>1000</v>
      </c>
      <c r="D111" s="16">
        <f>'APPENDIX A FOR INPUT'!J133</f>
        <v>0</v>
      </c>
    </row>
    <row r="112" spans="1:4">
      <c r="A112" s="15" t="s">
        <v>185</v>
      </c>
      <c r="B112" s="16">
        <f>SUM(B108:B111)</f>
        <v>72350</v>
      </c>
      <c r="C112" s="16">
        <f>SUM(C108:C111)</f>
        <v>60940</v>
      </c>
      <c r="D112" s="16">
        <f>SUM(D108:D111)</f>
        <v>70548</v>
      </c>
    </row>
    <row r="115" spans="1:4" ht="15.75">
      <c r="A115" s="12" t="s">
        <v>205</v>
      </c>
      <c r="B115" s="12"/>
      <c r="C115" s="12"/>
      <c r="D115" s="215" t="s">
        <v>492</v>
      </c>
    </row>
    <row r="116" spans="1:4">
      <c r="A116" t="s">
        <v>339</v>
      </c>
      <c r="B116" s="13"/>
      <c r="C116" s="14" t="e">
        <f>'APPENDIX A FOR INPUT'!#REF!</f>
        <v>#REF!</v>
      </c>
      <c r="D116" s="13"/>
    </row>
    <row r="117" spans="1:4">
      <c r="A117" s="15"/>
      <c r="B117" s="16"/>
      <c r="C117" s="16"/>
      <c r="D117" s="16"/>
    </row>
    <row r="118" spans="1:4">
      <c r="A118" s="15" t="s">
        <v>187</v>
      </c>
      <c r="B118" s="16">
        <v>9500</v>
      </c>
      <c r="C118" s="16">
        <f>'APPENDIX A FOR INPUT'!F139</f>
        <v>7500</v>
      </c>
      <c r="D118" s="16">
        <f>'APPENDIX A FOR INPUT'!J139</f>
        <v>7500</v>
      </c>
    </row>
    <row r="119" spans="1:4">
      <c r="A119" s="15" t="s">
        <v>184</v>
      </c>
      <c r="B119" s="16">
        <f>7500+2100</f>
        <v>9600</v>
      </c>
      <c r="C119" s="16">
        <f>SUM('APPENDIX A FOR INPUT'!F140:F146)</f>
        <v>9600</v>
      </c>
      <c r="D119" s="16">
        <f>SUM('APPENDIX A FOR INPUT'!J140:J146)</f>
        <v>9600</v>
      </c>
    </row>
    <row r="120" spans="1:4">
      <c r="A120" s="15" t="s">
        <v>188</v>
      </c>
      <c r="B120" s="16">
        <v>0</v>
      </c>
      <c r="C120" s="16" t="e">
        <f>'APPENDIX A FOR INPUT'!#REF!</f>
        <v>#REF!</v>
      </c>
      <c r="D120" s="16">
        <v>0</v>
      </c>
    </row>
    <row r="121" spans="1:4">
      <c r="A121" s="15" t="s">
        <v>185</v>
      </c>
      <c r="B121" s="16">
        <f>SUM(B118:B119)</f>
        <v>19100</v>
      </c>
      <c r="C121" s="16">
        <f>SUM(C118:C119)</f>
        <v>17100</v>
      </c>
      <c r="D121" s="16">
        <f>SUM(D118:D119)</f>
        <v>17100</v>
      </c>
    </row>
    <row r="123" spans="1:4" hidden="1"/>
    <row r="124" spans="1:4" ht="15.75" hidden="1">
      <c r="A124" s="12" t="str">
        <f>'[1]soil board'!A1</f>
        <v>DEPARTMENT NAME</v>
      </c>
      <c r="B124" s="12"/>
      <c r="C124" s="12"/>
      <c r="D124" s="12"/>
    </row>
    <row r="125" spans="1:4" hidden="1"/>
    <row r="126" spans="1:4" hidden="1">
      <c r="B126" s="13" t="e">
        <f>'APPENDIX A FOR INPUT'!#REF!</f>
        <v>#REF!</v>
      </c>
      <c r="C126" s="13" t="e">
        <f>'APPENDIX A FOR INPUT'!#REF!</f>
        <v>#REF!</v>
      </c>
      <c r="D126" s="13" t="e">
        <f>'APPENDIX A FOR INPUT'!#REF!</f>
        <v>#REF!</v>
      </c>
    </row>
    <row r="127" spans="1:4" hidden="1">
      <c r="B127" s="13" t="s">
        <v>210</v>
      </c>
      <c r="C127" s="13" t="s">
        <v>210</v>
      </c>
      <c r="D127" s="13" t="s">
        <v>210</v>
      </c>
    </row>
    <row r="128" spans="1:4" hidden="1">
      <c r="A128" t="str">
        <f>'[1]soil board'!B5</f>
        <v>ACCOUNT NAME</v>
      </c>
      <c r="B128" s="13" t="s">
        <v>179</v>
      </c>
      <c r="C128" s="13" t="s">
        <v>179</v>
      </c>
      <c r="D128" s="13" t="s">
        <v>211</v>
      </c>
    </row>
    <row r="129" spans="1:4" hidden="1">
      <c r="A129" s="15"/>
      <c r="B129" s="15"/>
      <c r="C129" s="15"/>
      <c r="D129" s="16"/>
    </row>
    <row r="130" spans="1:4" hidden="1">
      <c r="A130" s="15" t="s">
        <v>187</v>
      </c>
      <c r="B130" s="16" t="e">
        <f>SUM('APPENDIX A FOR INPUT'!#REF!)</f>
        <v>#REF!</v>
      </c>
      <c r="C130" s="16" t="e">
        <f>SUM('APPENDIX A FOR INPUT'!#REF!)</f>
        <v>#REF!</v>
      </c>
      <c r="D130" s="16" t="e">
        <f>SUM('APPENDIX A FOR INPUT'!#REF!)</f>
        <v>#REF!</v>
      </c>
    </row>
    <row r="131" spans="1:4" hidden="1">
      <c r="A131" s="15" t="s">
        <v>184</v>
      </c>
      <c r="B131" s="16" t="e">
        <f>SUM('APPENDIX A FOR INPUT'!#REF!)</f>
        <v>#REF!</v>
      </c>
      <c r="C131" s="16" t="e">
        <f>SUM('APPENDIX A FOR INPUT'!#REF!)</f>
        <v>#REF!</v>
      </c>
      <c r="D131" s="16" t="e">
        <f>SUM('APPENDIX A FOR INPUT'!#REF!)</f>
        <v>#REF!</v>
      </c>
    </row>
    <row r="132" spans="1:4" hidden="1">
      <c r="A132" s="15" t="s">
        <v>188</v>
      </c>
      <c r="B132" s="16" t="e">
        <f>'APPENDIX A FOR INPUT'!#REF!</f>
        <v>#REF!</v>
      </c>
      <c r="C132" s="16" t="e">
        <f>'APPENDIX A FOR INPUT'!#REF!</f>
        <v>#REF!</v>
      </c>
      <c r="D132" s="16" t="e">
        <f>'APPENDIX A FOR INPUT'!#REF!</f>
        <v>#REF!</v>
      </c>
    </row>
    <row r="133" spans="1:4" hidden="1">
      <c r="A133" s="15" t="s">
        <v>185</v>
      </c>
      <c r="B133" s="16" t="e">
        <f>SUM(B130:B132)</f>
        <v>#REF!</v>
      </c>
      <c r="C133" s="16" t="e">
        <f>SUM(C130:C132)</f>
        <v>#REF!</v>
      </c>
      <c r="D133" s="16" t="e">
        <f>SUM(D130:D132)</f>
        <v>#REF!</v>
      </c>
    </row>
    <row r="134" spans="1:4" hidden="1"/>
    <row r="135" spans="1:4" hidden="1"/>
    <row r="136" spans="1:4" ht="15.75" hidden="1">
      <c r="A136" s="12" t="str">
        <f>'[1]planning board'!A1</f>
        <v>DEPARTMENT NAME</v>
      </c>
      <c r="B136" s="12"/>
      <c r="C136" s="12"/>
      <c r="D136" s="12"/>
    </row>
    <row r="137" spans="1:4" hidden="1"/>
    <row r="138" spans="1:4" hidden="1">
      <c r="B138" s="13" t="e">
        <f>'APPENDIX A FOR INPUT'!#REF!</f>
        <v>#REF!</v>
      </c>
      <c r="C138" s="13" t="e">
        <f>'APPENDIX A FOR INPUT'!#REF!</f>
        <v>#REF!</v>
      </c>
      <c r="D138" s="13" t="e">
        <f>'APPENDIX A FOR INPUT'!#REF!</f>
        <v>#REF!</v>
      </c>
    </row>
    <row r="139" spans="1:4" hidden="1">
      <c r="B139" s="13" t="s">
        <v>210</v>
      </c>
      <c r="C139" s="13" t="s">
        <v>210</v>
      </c>
      <c r="D139" s="13" t="s">
        <v>210</v>
      </c>
    </row>
    <row r="140" spans="1:4" hidden="1">
      <c r="A140" t="str">
        <f>'[1]planning board'!B5</f>
        <v>ACCOUNT NAME</v>
      </c>
      <c r="B140" s="13" t="s">
        <v>179</v>
      </c>
      <c r="C140" s="13" t="s">
        <v>179</v>
      </c>
      <c r="D140" s="13" t="s">
        <v>211</v>
      </c>
    </row>
    <row r="141" spans="1:4" hidden="1">
      <c r="A141" s="15"/>
      <c r="B141" s="15"/>
      <c r="C141" s="15"/>
      <c r="D141" s="16"/>
    </row>
    <row r="142" spans="1:4" hidden="1">
      <c r="A142" s="15" t="s">
        <v>187</v>
      </c>
      <c r="B142" s="16" t="e">
        <f>SUM('APPENDIX A FOR INPUT'!#REF!)</f>
        <v>#REF!</v>
      </c>
      <c r="C142" s="16" t="e">
        <f>SUM('APPENDIX A FOR INPUT'!#REF!)</f>
        <v>#REF!</v>
      </c>
      <c r="D142" s="16" t="e">
        <f>SUM('APPENDIX A FOR INPUT'!#REF!)</f>
        <v>#REF!</v>
      </c>
    </row>
    <row r="143" spans="1:4" hidden="1">
      <c r="A143" s="15" t="s">
        <v>184</v>
      </c>
      <c r="B143" s="16" t="e">
        <f>'APPENDIX A FOR INPUT'!#REF!</f>
        <v>#REF!</v>
      </c>
      <c r="C143" s="16" t="e">
        <f>'APPENDIX A FOR INPUT'!#REF!</f>
        <v>#REF!</v>
      </c>
      <c r="D143" s="16" t="e">
        <f>'APPENDIX A FOR INPUT'!#REF!</f>
        <v>#REF!</v>
      </c>
    </row>
    <row r="144" spans="1:4" hidden="1">
      <c r="A144" s="15" t="s">
        <v>185</v>
      </c>
      <c r="B144" s="16" t="e">
        <f>SUM(B142:B143)</f>
        <v>#REF!</v>
      </c>
      <c r="C144" s="16" t="e">
        <f>SUM(C142:C143)</f>
        <v>#REF!</v>
      </c>
      <c r="D144" s="16" t="e">
        <f>SUM(D142:D143)</f>
        <v>#REF!</v>
      </c>
    </row>
    <row r="145" spans="1:4" hidden="1"/>
    <row r="147" spans="1:4" ht="15.75">
      <c r="A147" s="12" t="s">
        <v>205</v>
      </c>
      <c r="B147" s="12"/>
      <c r="C147" s="12"/>
      <c r="D147" s="215" t="s">
        <v>493</v>
      </c>
    </row>
    <row r="148" spans="1:4">
      <c r="A148" t="s">
        <v>339</v>
      </c>
      <c r="B148" s="13"/>
      <c r="C148" s="14" t="e">
        <f>'APPENDIX A FOR INPUT'!#REF!</f>
        <v>#REF!</v>
      </c>
      <c r="D148" s="13"/>
    </row>
    <row r="149" spans="1:4">
      <c r="A149" s="15"/>
      <c r="B149" s="16"/>
      <c r="C149" s="16"/>
      <c r="D149" s="16"/>
    </row>
    <row r="150" spans="1:4">
      <c r="A150" s="15" t="s">
        <v>316</v>
      </c>
      <c r="B150" s="16">
        <v>1200</v>
      </c>
      <c r="C150" s="16">
        <f>SUM('APPENDIX A FOR INPUT'!F152)</f>
        <v>938</v>
      </c>
      <c r="D150" s="16">
        <f>SUM('APPENDIX A FOR INPUT'!J152:J152)</f>
        <v>1200</v>
      </c>
    </row>
    <row r="151" spans="1:4">
      <c r="A151" s="15" t="s">
        <v>185</v>
      </c>
      <c r="B151" s="16">
        <f>SUM(B150:B150)</f>
        <v>1200</v>
      </c>
      <c r="C151" s="16">
        <f>SUM(C150:C150)</f>
        <v>938</v>
      </c>
      <c r="D151" s="16">
        <f>SUM(D150:D150)</f>
        <v>1200</v>
      </c>
    </row>
    <row r="153" spans="1:4" hidden="1"/>
    <row r="154" spans="1:4" ht="15.75" hidden="1">
      <c r="A154" s="12" t="str">
        <f>'[1]town buildings'!A1</f>
        <v>DEPARTMENT NAME</v>
      </c>
      <c r="B154" s="12"/>
      <c r="C154" s="12"/>
      <c r="D154" s="12"/>
    </row>
    <row r="155" spans="1:4" hidden="1"/>
    <row r="156" spans="1:4" hidden="1">
      <c r="B156" s="13" t="e">
        <f>'APPENDIX A FOR INPUT'!#REF!</f>
        <v>#REF!</v>
      </c>
      <c r="C156" s="13" t="e">
        <f>'APPENDIX A FOR INPUT'!#REF!</f>
        <v>#REF!</v>
      </c>
      <c r="D156" s="13" t="e">
        <f>'APPENDIX A FOR INPUT'!#REF!</f>
        <v>#REF!</v>
      </c>
    </row>
    <row r="157" spans="1:4" hidden="1">
      <c r="B157" s="13" t="s">
        <v>210</v>
      </c>
      <c r="C157" s="13" t="s">
        <v>210</v>
      </c>
      <c r="D157" s="13" t="s">
        <v>210</v>
      </c>
    </row>
    <row r="158" spans="1:4" hidden="1">
      <c r="A158" t="str">
        <f>'[1]town buildings'!B5</f>
        <v>ACCOUNT NAME</v>
      </c>
      <c r="B158" s="13" t="s">
        <v>179</v>
      </c>
      <c r="C158" s="13" t="s">
        <v>179</v>
      </c>
      <c r="D158" s="13" t="s">
        <v>211</v>
      </c>
    </row>
    <row r="159" spans="1:4" hidden="1">
      <c r="A159" s="15"/>
      <c r="B159" s="15"/>
      <c r="C159" s="15"/>
      <c r="D159" s="16"/>
    </row>
    <row r="160" spans="1:4" hidden="1">
      <c r="A160" s="15" t="s">
        <v>187</v>
      </c>
      <c r="B160" s="16" t="e">
        <f>'APPENDIX A FOR INPUT'!#REF!</f>
        <v>#REF!</v>
      </c>
      <c r="C160" s="16" t="e">
        <f>'APPENDIX A FOR INPUT'!#REF!</f>
        <v>#REF!</v>
      </c>
      <c r="D160" s="16" t="e">
        <f>'APPENDIX A FOR INPUT'!#REF!</f>
        <v>#REF!</v>
      </c>
    </row>
    <row r="161" spans="1:4" hidden="1">
      <c r="A161" s="15" t="s">
        <v>184</v>
      </c>
      <c r="B161" s="16" t="e">
        <f>SUM('APPENDIX A FOR INPUT'!#REF!)</f>
        <v>#REF!</v>
      </c>
      <c r="C161" s="16" t="e">
        <f>SUM('APPENDIX A FOR INPUT'!#REF!)</f>
        <v>#REF!</v>
      </c>
      <c r="D161" s="16" t="e">
        <f>SUM('APPENDIX A FOR INPUT'!#REF!)</f>
        <v>#REF!</v>
      </c>
    </row>
    <row r="162" spans="1:4" hidden="1">
      <c r="A162" s="15" t="s">
        <v>185</v>
      </c>
      <c r="B162" s="16" t="e">
        <f>SUM(B160:B161)</f>
        <v>#REF!</v>
      </c>
      <c r="C162" s="16" t="e">
        <f>SUM(C160:C161)</f>
        <v>#REF!</v>
      </c>
      <c r="D162" s="16" t="e">
        <f>SUM(D160:D161)</f>
        <v>#REF!</v>
      </c>
    </row>
    <row r="163" spans="1:4" hidden="1"/>
    <row r="165" spans="1:4" ht="15.75">
      <c r="A165" s="12" t="s">
        <v>205</v>
      </c>
      <c r="B165" s="12"/>
      <c r="C165" s="12"/>
      <c r="D165" s="215" t="s">
        <v>494</v>
      </c>
    </row>
    <row r="166" spans="1:4">
      <c r="A166" t="s">
        <v>339</v>
      </c>
      <c r="B166" s="13"/>
      <c r="C166" s="14" t="e">
        <f>'APPENDIX A FOR INPUT'!#REF!</f>
        <v>#REF!</v>
      </c>
      <c r="D166" s="13"/>
    </row>
    <row r="167" spans="1:4">
      <c r="A167" s="15"/>
      <c r="B167" s="16"/>
      <c r="C167" s="16"/>
      <c r="D167" s="16"/>
    </row>
    <row r="168" spans="1:4">
      <c r="A168" s="15" t="s">
        <v>187</v>
      </c>
      <c r="B168" s="16">
        <f>18304</f>
        <v>18304</v>
      </c>
      <c r="C168" s="16">
        <f>SUM('APPENDIX A FOR INPUT'!F157:F157)</f>
        <v>12000</v>
      </c>
      <c r="D168" s="16">
        <f>SUM('APPENDIX A FOR INPUT'!J157:J157)</f>
        <v>18305</v>
      </c>
    </row>
    <row r="169" spans="1:4">
      <c r="A169" s="15" t="s">
        <v>184</v>
      </c>
      <c r="B169" s="16">
        <f>16260+1500+13000</f>
        <v>30760</v>
      </c>
      <c r="C169" s="16">
        <f>SUM('APPENDIX A FOR INPUT'!F158:F163)</f>
        <v>39747</v>
      </c>
      <c r="D169" s="16">
        <f>SUM('APPENDIX A FOR INPUT'!J158:J163)</f>
        <v>29760</v>
      </c>
    </row>
    <row r="170" spans="1:4">
      <c r="A170" s="15" t="s">
        <v>185</v>
      </c>
      <c r="B170" s="16">
        <f>SUM(B168:B169)</f>
        <v>49064</v>
      </c>
      <c r="C170" s="16">
        <f>SUM(C168:C169)</f>
        <v>51747</v>
      </c>
      <c r="D170" s="16">
        <f>SUM(D168:D169)</f>
        <v>48065</v>
      </c>
    </row>
    <row r="173" spans="1:4" ht="15.75">
      <c r="A173" s="12" t="s">
        <v>205</v>
      </c>
      <c r="B173" s="12"/>
      <c r="C173" s="12"/>
      <c r="D173" s="215" t="s">
        <v>495</v>
      </c>
    </row>
    <row r="174" spans="1:4">
      <c r="A174" t="s">
        <v>339</v>
      </c>
      <c r="B174" s="13"/>
      <c r="C174" s="14" t="e">
        <f>'APPENDIX A FOR INPUT'!#REF!</f>
        <v>#REF!</v>
      </c>
      <c r="D174" s="13"/>
    </row>
    <row r="175" spans="1:4">
      <c r="A175" s="15"/>
      <c r="B175" s="16"/>
      <c r="C175" s="16"/>
      <c r="D175" s="16"/>
    </row>
    <row r="176" spans="1:4">
      <c r="A176" s="15" t="s">
        <v>184</v>
      </c>
      <c r="B176" s="16">
        <f>86400-6000</f>
        <v>80400</v>
      </c>
      <c r="C176" s="16">
        <f>SUM('APPENDIX A FOR INPUT'!F168:F186)</f>
        <v>67239</v>
      </c>
      <c r="D176" s="16">
        <f>SUM('APPENDIX A FOR INPUT'!J168:J186)</f>
        <v>77400</v>
      </c>
    </row>
    <row r="177" spans="1:4">
      <c r="A177" s="15" t="s">
        <v>188</v>
      </c>
      <c r="B177" s="16">
        <f>'APPENDIX A FOR INPUT'!F188</f>
        <v>6000</v>
      </c>
      <c r="C177" s="16">
        <f>'APPENDIX A FOR INPUT'!F188</f>
        <v>6000</v>
      </c>
      <c r="D177" s="16">
        <f>'APPENDIX A FOR INPUT'!J188</f>
        <v>0</v>
      </c>
    </row>
    <row r="178" spans="1:4">
      <c r="A178" s="15" t="s">
        <v>185</v>
      </c>
      <c r="B178" s="16">
        <f>SUM(B176:B177)</f>
        <v>86400</v>
      </c>
      <c r="C178" s="16">
        <f>SUM(C175:C176)</f>
        <v>67239</v>
      </c>
      <c r="D178" s="16">
        <f>SUM(D176:D177)</f>
        <v>77400</v>
      </c>
    </row>
    <row r="179" spans="1:4">
      <c r="B179" s="19"/>
      <c r="C179" s="19"/>
      <c r="D179" s="19"/>
    </row>
    <row r="181" spans="1:4" ht="15.75">
      <c r="A181" s="12" t="s">
        <v>205</v>
      </c>
      <c r="B181" s="12"/>
      <c r="C181" s="12"/>
      <c r="D181" s="215" t="s">
        <v>496</v>
      </c>
    </row>
    <row r="182" spans="1:4">
      <c r="A182" t="s">
        <v>339</v>
      </c>
      <c r="B182" s="13"/>
      <c r="C182" s="14" t="e">
        <f>'APPENDIX A FOR INPUT'!#REF!</f>
        <v>#REF!</v>
      </c>
      <c r="D182" s="13"/>
    </row>
    <row r="183" spans="1:4">
      <c r="A183" s="15"/>
      <c r="B183" s="16"/>
      <c r="C183" s="16"/>
      <c r="D183" s="16"/>
    </row>
    <row r="184" spans="1:4">
      <c r="A184" s="15" t="s">
        <v>187</v>
      </c>
      <c r="B184" s="16">
        <f>1438402</f>
        <v>1438402</v>
      </c>
      <c r="C184" s="16">
        <f>SUM('APPENDIX A FOR INPUT'!F220:F232)</f>
        <v>1402264</v>
      </c>
      <c r="D184" s="16">
        <f>SUM('APPENDIX A FOR INPUT'!J220:J232)</f>
        <v>1438402</v>
      </c>
    </row>
    <row r="185" spans="1:4">
      <c r="A185" s="15" t="s">
        <v>184</v>
      </c>
      <c r="B185" s="16">
        <v>119840</v>
      </c>
      <c r="C185" s="16">
        <f>SUM('APPENDIX A FOR INPUT'!F233:F259)</f>
        <v>107370</v>
      </c>
      <c r="D185" s="16">
        <f>SUM('APPENDIX A FOR INPUT'!J233:J258)+('APPENDIX A FOR INPUT'!J259)</f>
        <v>113927</v>
      </c>
    </row>
    <row r="186" spans="1:4">
      <c r="A186" s="15" t="s">
        <v>188</v>
      </c>
      <c r="B186" s="16">
        <f>4145+4000</f>
        <v>8145</v>
      </c>
      <c r="C186" s="16">
        <f>'APPENDIX A FOR INPUT'!F261</f>
        <v>0</v>
      </c>
      <c r="D186" s="16">
        <f>'APPENDIX A FOR INPUT'!J260</f>
        <v>2145</v>
      </c>
    </row>
    <row r="187" spans="1:4">
      <c r="A187" s="15" t="s">
        <v>185</v>
      </c>
      <c r="B187" s="16">
        <f>SUM(B184:B186)</f>
        <v>1566387</v>
      </c>
      <c r="C187" s="16">
        <f>SUM(C184:C186)</f>
        <v>1509634</v>
      </c>
      <c r="D187" s="16">
        <f>SUM(D184:D186)</f>
        <v>1554474</v>
      </c>
    </row>
    <row r="190" spans="1:4" ht="15.75">
      <c r="A190" s="12" t="s">
        <v>205</v>
      </c>
      <c r="B190" s="12"/>
      <c r="C190" s="12"/>
      <c r="D190" s="215" t="s">
        <v>497</v>
      </c>
    </row>
    <row r="191" spans="1:4">
      <c r="A191" t="s">
        <v>339</v>
      </c>
      <c r="B191" s="13"/>
      <c r="C191" s="14" t="e">
        <f>'APPENDIX A FOR INPUT'!#REF!</f>
        <v>#REF!</v>
      </c>
      <c r="D191" s="13"/>
    </row>
    <row r="192" spans="1:4">
      <c r="A192" s="15"/>
      <c r="B192" s="15"/>
      <c r="C192" s="15"/>
      <c r="D192" s="15"/>
    </row>
    <row r="193" spans="1:4">
      <c r="A193" s="15" t="s">
        <v>187</v>
      </c>
      <c r="B193" s="16">
        <v>194270</v>
      </c>
      <c r="C193" s="16">
        <f>SUM('APPENDIX A FOR INPUT'!F265:F269)</f>
        <v>154948</v>
      </c>
      <c r="D193" s="16">
        <f>SUM('APPENDIX A FOR INPUT'!J265:J269)</f>
        <v>186577</v>
      </c>
    </row>
    <row r="194" spans="1:4">
      <c r="A194" s="15" t="s">
        <v>184</v>
      </c>
      <c r="B194" s="16">
        <v>85760</v>
      </c>
      <c r="C194" s="16">
        <f>SUM('APPENDIX A FOR INPUT'!F270:F282)</f>
        <v>66110</v>
      </c>
      <c r="D194" s="16">
        <f>SUM('APPENDIX A FOR INPUT'!J270:J282)</f>
        <v>83760</v>
      </c>
    </row>
    <row r="195" spans="1:4">
      <c r="A195" s="15" t="s">
        <v>188</v>
      </c>
      <c r="B195" s="16">
        <v>12000</v>
      </c>
      <c r="C195" s="16">
        <f>'APPENDIX A FOR INPUT'!F283</f>
        <v>9000</v>
      </c>
      <c r="D195" s="16">
        <f>SUM('APPENDIX A FOR INPUT'!J283:J284)</f>
        <v>12000</v>
      </c>
    </row>
    <row r="196" spans="1:4">
      <c r="A196" s="15" t="s">
        <v>185</v>
      </c>
      <c r="B196" s="16">
        <f>SUM(B193:B195)</f>
        <v>292030</v>
      </c>
      <c r="C196" s="16">
        <f>SUM(C193:C195)</f>
        <v>230058</v>
      </c>
      <c r="D196" s="16">
        <f>SUM(D193:D195)</f>
        <v>282337</v>
      </c>
    </row>
    <row r="199" spans="1:4" ht="15.75">
      <c r="A199" s="12" t="s">
        <v>205</v>
      </c>
      <c r="B199" s="12"/>
      <c r="C199" s="12"/>
      <c r="D199" s="215" t="s">
        <v>498</v>
      </c>
    </row>
    <row r="200" spans="1:4">
      <c r="A200" t="s">
        <v>339</v>
      </c>
      <c r="B200" s="13"/>
      <c r="C200" s="14" t="e">
        <f>'APPENDIX A FOR INPUT'!#REF!</f>
        <v>#REF!</v>
      </c>
      <c r="D200" s="13"/>
    </row>
    <row r="201" spans="1:4">
      <c r="A201" s="15"/>
      <c r="B201" s="15"/>
      <c r="C201" s="15"/>
      <c r="D201" s="15"/>
    </row>
    <row r="202" spans="1:4">
      <c r="A202" s="15" t="s">
        <v>187</v>
      </c>
      <c r="B202" s="16">
        <v>692900</v>
      </c>
      <c r="C202" s="16">
        <f>SUM('APPENDIX A FOR INPUT'!F289:F294)</f>
        <v>506980</v>
      </c>
      <c r="D202" s="16">
        <f>SUM('APPENDIX A FOR INPUT'!J289:J294)</f>
        <v>696528</v>
      </c>
    </row>
    <row r="203" spans="1:4">
      <c r="A203" s="15" t="s">
        <v>184</v>
      </c>
      <c r="B203" s="16">
        <v>90600</v>
      </c>
      <c r="C203" s="16">
        <f>SUM('APPENDIX A FOR INPUT'!F295:F308)</f>
        <v>68650</v>
      </c>
      <c r="D203" s="16">
        <f>SUM('APPENDIX A FOR INPUT'!J295:J308)</f>
        <v>89500</v>
      </c>
    </row>
    <row r="204" spans="1:4">
      <c r="A204" s="15" t="s">
        <v>188</v>
      </c>
      <c r="B204" s="16">
        <v>13500</v>
      </c>
      <c r="C204" s="16">
        <f>'APPENDIX A FOR INPUT'!F309</f>
        <v>2500</v>
      </c>
      <c r="D204" s="16">
        <f>'APPENDIX A FOR INPUT'!J309</f>
        <v>4000</v>
      </c>
    </row>
    <row r="205" spans="1:4">
      <c r="A205" s="15" t="s">
        <v>185</v>
      </c>
      <c r="B205" s="16">
        <f>SUM(B202:B204)</f>
        <v>797000</v>
      </c>
      <c r="C205" s="16">
        <f>SUM(C202:C204)</f>
        <v>578130</v>
      </c>
      <c r="D205" s="16">
        <f>SUM(D202:D204)</f>
        <v>790028</v>
      </c>
    </row>
    <row r="208" spans="1:4" ht="15.75">
      <c r="A208" s="12" t="s">
        <v>205</v>
      </c>
      <c r="B208" s="12"/>
      <c r="C208" s="12"/>
      <c r="D208" s="215" t="s">
        <v>499</v>
      </c>
    </row>
    <row r="209" spans="1:4">
      <c r="A209" t="s">
        <v>339</v>
      </c>
      <c r="B209" s="13"/>
      <c r="C209" s="14" t="e">
        <f>'APPENDIX A FOR INPUT'!#REF!</f>
        <v>#REF!</v>
      </c>
      <c r="D209" s="13"/>
    </row>
    <row r="210" spans="1:4">
      <c r="A210" s="15"/>
      <c r="B210" s="15"/>
      <c r="C210" s="15"/>
      <c r="D210" s="15"/>
    </row>
    <row r="211" spans="1:4">
      <c r="A211" s="15" t="s">
        <v>187</v>
      </c>
      <c r="B211" s="16">
        <f>48340</f>
        <v>48340</v>
      </c>
      <c r="C211" s="16">
        <f>SUM('APPENDIX A FOR INPUT'!F314:F321)</f>
        <v>44548</v>
      </c>
      <c r="D211" s="16">
        <f>SUM('APPENDIX A FOR INPUT'!J314:J321)</f>
        <v>48340</v>
      </c>
    </row>
    <row r="212" spans="1:4">
      <c r="A212" s="15" t="s">
        <v>184</v>
      </c>
      <c r="B212" s="16">
        <v>3250</v>
      </c>
      <c r="C212" s="16">
        <f>SUM('APPENDIX A FOR INPUT'!F322:F325)</f>
        <v>1750</v>
      </c>
      <c r="D212" s="16">
        <f>SUM('APPENDIX A FOR INPUT'!J322:J325)</f>
        <v>1790</v>
      </c>
    </row>
    <row r="213" spans="1:4">
      <c r="A213" s="15" t="s">
        <v>188</v>
      </c>
      <c r="B213" s="16">
        <v>1000</v>
      </c>
      <c r="C213" s="16">
        <f>'APPENDIX A FOR INPUT'!F326</f>
        <v>0</v>
      </c>
      <c r="D213" s="16">
        <f>'APPENDIX A FOR INPUT'!J326</f>
        <v>1000</v>
      </c>
    </row>
    <row r="214" spans="1:4">
      <c r="A214" s="15" t="s">
        <v>185</v>
      </c>
      <c r="B214" s="16">
        <f>SUM(B211:B213)</f>
        <v>52590</v>
      </c>
      <c r="C214" s="16">
        <f>SUM(C211:C213)</f>
        <v>46298</v>
      </c>
      <c r="D214" s="16">
        <f>SUM(D211:D213)</f>
        <v>51130</v>
      </c>
    </row>
    <row r="217" spans="1:4" ht="15.75">
      <c r="A217" s="12" t="s">
        <v>205</v>
      </c>
      <c r="B217" s="12"/>
      <c r="C217" s="12"/>
      <c r="D217" s="215" t="s">
        <v>500</v>
      </c>
    </row>
    <row r="218" spans="1:4">
      <c r="A218" t="s">
        <v>339</v>
      </c>
      <c r="B218" s="13"/>
      <c r="C218" s="14" t="e">
        <f>'APPENDIX A FOR INPUT'!#REF!</f>
        <v>#REF!</v>
      </c>
      <c r="D218" s="13"/>
    </row>
    <row r="219" spans="1:4">
      <c r="A219" s="15"/>
      <c r="B219" s="15"/>
      <c r="C219" s="15"/>
      <c r="D219" s="15"/>
    </row>
    <row r="220" spans="1:4">
      <c r="A220" s="15" t="s">
        <v>187</v>
      </c>
      <c r="B220" s="16">
        <v>389778</v>
      </c>
      <c r="C220" s="16">
        <f>SUM('APPENDIX A FOR INPUT'!F331:F339)</f>
        <v>335447</v>
      </c>
      <c r="D220" s="16">
        <f>SUM('APPENDIX A FOR INPUT'!J331:J338)</f>
        <v>385778</v>
      </c>
    </row>
    <row r="221" spans="1:4">
      <c r="A221" s="15" t="s">
        <v>184</v>
      </c>
      <c r="B221" s="16">
        <v>25431</v>
      </c>
      <c r="C221" s="16">
        <f>SUM('APPENDIX A FOR INPUT'!F340:F346)</f>
        <v>13565</v>
      </c>
      <c r="D221" s="16">
        <f>SUM('APPENDIX A FOR INPUT'!J339:J345)</f>
        <v>22431</v>
      </c>
    </row>
    <row r="222" spans="1:4">
      <c r="A222" s="15" t="s">
        <v>188</v>
      </c>
      <c r="B222" s="17">
        <v>700</v>
      </c>
      <c r="C222" s="17" t="e">
        <f>'APPENDIX A FOR INPUT'!#REF!</f>
        <v>#REF!</v>
      </c>
      <c r="D222" s="17">
        <v>0</v>
      </c>
    </row>
    <row r="223" spans="1:4">
      <c r="A223" s="15" t="s">
        <v>185</v>
      </c>
      <c r="B223" s="16">
        <f>SUM(B220:B222)</f>
        <v>415909</v>
      </c>
      <c r="C223" s="16" t="e">
        <f>SUM(C220:C222)</f>
        <v>#REF!</v>
      </c>
      <c r="D223" s="16">
        <f>SUM(D220:D222)</f>
        <v>408209</v>
      </c>
    </row>
    <row r="225" spans="1:4" hidden="1"/>
    <row r="226" spans="1:4" ht="15.75" hidden="1">
      <c r="A226" s="12" t="str">
        <f>'[1]dog officer'!A1</f>
        <v>DEPARTMENT NAME</v>
      </c>
      <c r="B226" s="12"/>
      <c r="C226" s="12"/>
      <c r="D226" s="12"/>
    </row>
    <row r="227" spans="1:4" hidden="1"/>
    <row r="228" spans="1:4" hidden="1">
      <c r="B228" s="13" t="e">
        <f>'APPENDIX A FOR INPUT'!#REF!</f>
        <v>#REF!</v>
      </c>
      <c r="C228" s="13" t="e">
        <f>'APPENDIX A FOR INPUT'!#REF!</f>
        <v>#REF!</v>
      </c>
      <c r="D228" s="13" t="e">
        <f>'APPENDIX A FOR INPUT'!#REF!</f>
        <v>#REF!</v>
      </c>
    </row>
    <row r="229" spans="1:4" hidden="1">
      <c r="B229" s="13" t="s">
        <v>210</v>
      </c>
      <c r="C229" s="13" t="s">
        <v>210</v>
      </c>
      <c r="D229" s="13" t="s">
        <v>210</v>
      </c>
    </row>
    <row r="230" spans="1:4" hidden="1">
      <c r="A230" t="str">
        <f>'[1]dog officer'!B5</f>
        <v>ACCOUNT NAME</v>
      </c>
      <c r="B230" s="13" t="s">
        <v>179</v>
      </c>
      <c r="C230" s="13" t="s">
        <v>179</v>
      </c>
      <c r="D230" s="13" t="s">
        <v>211</v>
      </c>
    </row>
    <row r="231" spans="1:4" hidden="1">
      <c r="A231" s="15"/>
      <c r="B231" s="15"/>
      <c r="C231" s="15"/>
      <c r="D231" s="15"/>
    </row>
    <row r="232" spans="1:4" hidden="1">
      <c r="A232" s="15" t="s">
        <v>187</v>
      </c>
      <c r="B232" s="17" t="e">
        <f>'APPENDIX A FOR INPUT'!#REF!</f>
        <v>#REF!</v>
      </c>
      <c r="C232" s="17" t="e">
        <f>'APPENDIX A FOR INPUT'!#REF!</f>
        <v>#REF!</v>
      </c>
      <c r="D232" s="17" t="e">
        <f>'APPENDIX A FOR INPUT'!#REF!</f>
        <v>#REF!</v>
      </c>
    </row>
    <row r="233" spans="1:4" hidden="1">
      <c r="A233" s="15" t="s">
        <v>184</v>
      </c>
      <c r="B233" s="16" t="e">
        <f>SUM('APPENDIX A FOR INPUT'!#REF!)</f>
        <v>#REF!</v>
      </c>
      <c r="C233" s="16" t="e">
        <f>SUM('APPENDIX A FOR INPUT'!#REF!)</f>
        <v>#REF!</v>
      </c>
      <c r="D233" s="16" t="e">
        <f>SUM('APPENDIX A FOR INPUT'!#REF!)</f>
        <v>#REF!</v>
      </c>
    </row>
    <row r="234" spans="1:4" hidden="1">
      <c r="A234" s="15" t="s">
        <v>188</v>
      </c>
      <c r="B234" s="16" t="e">
        <f>'APPENDIX A FOR INPUT'!#REF!</f>
        <v>#REF!</v>
      </c>
      <c r="C234" s="16" t="e">
        <f>'APPENDIX A FOR INPUT'!#REF!</f>
        <v>#REF!</v>
      </c>
      <c r="D234" s="16" t="e">
        <f>'APPENDIX A FOR INPUT'!#REF!</f>
        <v>#REF!</v>
      </c>
    </row>
    <row r="235" spans="1:4" hidden="1">
      <c r="A235" s="15" t="s">
        <v>185</v>
      </c>
      <c r="B235" s="16" t="e">
        <f>SUM(B232:B234)</f>
        <v>#REF!</v>
      </c>
      <c r="C235" s="16" t="e">
        <f>SUM(C232:C234)</f>
        <v>#REF!</v>
      </c>
      <c r="D235" s="16" t="e">
        <f>SUM(D232:D234)</f>
        <v>#REF!</v>
      </c>
    </row>
    <row r="236" spans="1:4" hidden="1"/>
    <row r="238" spans="1:4" ht="15.75">
      <c r="A238" s="12" t="s">
        <v>205</v>
      </c>
      <c r="B238" s="12"/>
      <c r="C238" s="12"/>
      <c r="D238" s="215" t="s">
        <v>518</v>
      </c>
    </row>
    <row r="239" spans="1:4">
      <c r="A239" t="s">
        <v>339</v>
      </c>
      <c r="B239" s="13"/>
      <c r="C239" s="14" t="e">
        <f>'APPENDIX A FOR INPUT'!#REF!</f>
        <v>#REF!</v>
      </c>
      <c r="D239" s="13"/>
    </row>
    <row r="240" spans="1:4">
      <c r="A240" s="15"/>
      <c r="B240" s="15"/>
      <c r="C240" s="15"/>
      <c r="D240" s="15"/>
    </row>
    <row r="241" spans="1:4">
      <c r="A241" s="15" t="s">
        <v>187</v>
      </c>
      <c r="B241" s="16">
        <f>SUM('APPENDIX A FOR INPUT'!F351:F352)</f>
        <v>23900</v>
      </c>
      <c r="C241" s="16">
        <f>SUM('APPENDIX A FOR INPUT'!F351:F351)</f>
        <v>20000</v>
      </c>
      <c r="D241" s="16">
        <f>SUM('APPENDIX A FOR INPUT'!J351:J352)</f>
        <v>24990</v>
      </c>
    </row>
    <row r="242" spans="1:4">
      <c r="A242" s="15" t="s">
        <v>184</v>
      </c>
      <c r="B242" s="16">
        <f>SUM('APPENDIX A FOR INPUT'!F353:F359)</f>
        <v>2570</v>
      </c>
      <c r="C242" s="16">
        <f>SUM('APPENDIX A FOR INPUT'!F353:F359)</f>
        <v>2570</v>
      </c>
      <c r="D242" s="16">
        <f>SUM('APPENDIX A FOR INPUT'!J353:J359)</f>
        <v>2723.4</v>
      </c>
    </row>
    <row r="243" spans="1:4">
      <c r="A243" s="15" t="s">
        <v>185</v>
      </c>
      <c r="B243" s="16">
        <f>SUM(B241:B242)</f>
        <v>26470</v>
      </c>
      <c r="C243" s="16">
        <f>SUM(C241:C242)</f>
        <v>22570</v>
      </c>
      <c r="D243" s="16">
        <f>SUM(D241:D242)</f>
        <v>27713.4</v>
      </c>
    </row>
    <row r="246" spans="1:4" ht="15.75">
      <c r="A246" s="12" t="s">
        <v>205</v>
      </c>
      <c r="B246" s="12"/>
      <c r="C246" s="12"/>
      <c r="D246" s="215" t="s">
        <v>517</v>
      </c>
    </row>
    <row r="247" spans="1:4">
      <c r="A247" t="s">
        <v>339</v>
      </c>
      <c r="B247" s="13"/>
      <c r="C247" s="14" t="e">
        <f>'APPENDIX A FOR INPUT'!#REF!</f>
        <v>#REF!</v>
      </c>
      <c r="D247" s="13"/>
    </row>
    <row r="248" spans="1:4">
      <c r="A248" s="15"/>
      <c r="B248" s="15"/>
      <c r="C248" s="15"/>
      <c r="D248" s="15"/>
    </row>
    <row r="249" spans="1:4">
      <c r="A249" s="15" t="s">
        <v>317</v>
      </c>
      <c r="B249" s="16">
        <v>4000</v>
      </c>
      <c r="C249" s="16">
        <f>'APPENDIX A FOR INPUT'!F365</f>
        <v>3417</v>
      </c>
      <c r="D249" s="16">
        <f>'APPENDIX A FOR INPUT'!J365</f>
        <v>4000</v>
      </c>
    </row>
    <row r="250" spans="1:4">
      <c r="A250" s="15" t="s">
        <v>184</v>
      </c>
      <c r="B250" s="16">
        <v>25000</v>
      </c>
      <c r="C250" s="16">
        <f>SUM('APPENDIX A FOR INPUT'!F366:F368)</f>
        <v>20000</v>
      </c>
      <c r="D250" s="16">
        <f>SUM('APPENDIX A FOR INPUT'!J366:J368)</f>
        <v>21000</v>
      </c>
    </row>
    <row r="251" spans="1:4">
      <c r="A251" s="15" t="s">
        <v>185</v>
      </c>
      <c r="B251" s="16">
        <f>SUM(B249:B250)</f>
        <v>29000</v>
      </c>
      <c r="C251" s="16">
        <f>SUM(C249:C250)</f>
        <v>23417</v>
      </c>
      <c r="D251" s="16">
        <f>SUM(D249:D250)</f>
        <v>25000</v>
      </c>
    </row>
    <row r="254" spans="1:4" ht="15.75" hidden="1">
      <c r="A254" s="12" t="str">
        <f>'[1]acushnet school'!A1</f>
        <v>DEPARTMENT NAME</v>
      </c>
      <c r="B254" s="12"/>
      <c r="C254" s="12"/>
      <c r="D254" s="12"/>
    </row>
    <row r="255" spans="1:4" hidden="1">
      <c r="A255" t="str">
        <f>'[1]acushnet school'!B5</f>
        <v>ACCOUNT NAME</v>
      </c>
      <c r="B255" s="13"/>
      <c r="C255" s="14" t="e">
        <f>'APPENDIX A FOR INPUT'!#REF!</f>
        <v>#REF!</v>
      </c>
      <c r="D255" s="13"/>
    </row>
    <row r="256" spans="1:4" hidden="1">
      <c r="A256" s="15"/>
      <c r="B256" s="15"/>
      <c r="C256" s="15"/>
      <c r="D256" s="15"/>
    </row>
    <row r="257" spans="1:4" hidden="1">
      <c r="A257" s="15" t="s">
        <v>184</v>
      </c>
      <c r="B257" s="16" t="e">
        <f>'APPENDIX A FOR INPUT'!#REF!</f>
        <v>#REF!</v>
      </c>
      <c r="C257" s="16" t="e">
        <f>'APPENDIX A FOR INPUT'!#REF!</f>
        <v>#REF!</v>
      </c>
      <c r="D257" s="16" t="e">
        <f>'APPENDIX A FOR INPUT'!#REF!</f>
        <v>#REF!</v>
      </c>
    </row>
    <row r="258" spans="1:4" hidden="1">
      <c r="A258" s="15" t="s">
        <v>185</v>
      </c>
      <c r="B258" s="16" t="e">
        <f>SUM(B256:B257)</f>
        <v>#REF!</v>
      </c>
      <c r="C258" s="16" t="e">
        <f>SUM(C256:C257)</f>
        <v>#REF!</v>
      </c>
      <c r="D258" s="16" t="e">
        <f>SUM(D256:D257)</f>
        <v>#REF!</v>
      </c>
    </row>
    <row r="259" spans="1:4" hidden="1">
      <c r="B259" s="19"/>
      <c r="C259" s="19"/>
      <c r="D259" s="19"/>
    </row>
    <row r="260" spans="1:4" hidden="1"/>
    <row r="262" spans="1:4" ht="15.75">
      <c r="A262" s="12" t="s">
        <v>205</v>
      </c>
      <c r="B262" s="12"/>
      <c r="C262" s="12"/>
      <c r="D262" s="215" t="s">
        <v>509</v>
      </c>
    </row>
    <row r="263" spans="1:4">
      <c r="A263" t="s">
        <v>339</v>
      </c>
      <c r="B263" s="13"/>
      <c r="C263" s="14" t="e">
        <f>'APPENDIX A FOR INPUT'!#REF!</f>
        <v>#REF!</v>
      </c>
      <c r="D263" s="13"/>
    </row>
    <row r="264" spans="1:4">
      <c r="A264" s="15"/>
      <c r="B264" s="15"/>
      <c r="C264" s="15"/>
      <c r="D264" s="15"/>
    </row>
    <row r="265" spans="1:4">
      <c r="A265" s="15" t="s">
        <v>316</v>
      </c>
      <c r="B265" s="16">
        <v>77800</v>
      </c>
      <c r="C265" s="16">
        <f>SUM('APPENDIX A FOR INPUT'!F397)</f>
        <v>68221</v>
      </c>
      <c r="D265" s="16">
        <f>SUM('APPENDIX A FOR INPUT'!J397)</f>
        <v>81000</v>
      </c>
    </row>
    <row r="266" spans="1:4">
      <c r="A266" s="15" t="s">
        <v>187</v>
      </c>
      <c r="B266" s="16">
        <v>567546</v>
      </c>
      <c r="C266" s="16">
        <f>SUM('APPENDIX A FOR INPUT'!F398:F404)</f>
        <v>503724</v>
      </c>
      <c r="D266" s="16">
        <f>SUM('APPENDIX A FOR INPUT'!J398:J404)</f>
        <v>564000</v>
      </c>
    </row>
    <row r="267" spans="1:4">
      <c r="A267" s="15" t="s">
        <v>184</v>
      </c>
      <c r="B267" s="16">
        <v>396450</v>
      </c>
      <c r="C267" s="16">
        <f>SUM('APPENDIX A FOR INPUT'!F405:F429)</f>
        <v>365055</v>
      </c>
      <c r="D267" s="16">
        <f>SUM('APPENDIX A FOR INPUT'!J405:J429)</f>
        <v>391550</v>
      </c>
    </row>
    <row r="268" spans="1:4">
      <c r="A268" s="15" t="s">
        <v>188</v>
      </c>
      <c r="B268" s="16">
        <f>SUM('APPENDIX A FOR INPUT'!F430:F431)</f>
        <v>5000</v>
      </c>
      <c r="C268" s="16">
        <f>SUM('APPENDIX A FOR INPUT'!F430:F431)</f>
        <v>5000</v>
      </c>
      <c r="D268" s="16">
        <f>SUM('APPENDIX A FOR INPUT'!J430:J431)</f>
        <v>5000</v>
      </c>
    </row>
    <row r="269" spans="1:4">
      <c r="A269" s="15" t="s">
        <v>185</v>
      </c>
      <c r="B269" s="16">
        <f>SUM(B265:B268)</f>
        <v>1046796</v>
      </c>
      <c r="C269" s="16">
        <f>SUM(C265:C268)</f>
        <v>942000</v>
      </c>
      <c r="D269" s="16">
        <f>SUM(D265:D268)</f>
        <v>1041550</v>
      </c>
    </row>
    <row r="272" spans="1:4" ht="15.75">
      <c r="A272" s="12" t="s">
        <v>205</v>
      </c>
      <c r="B272" s="12"/>
      <c r="C272" s="12"/>
      <c r="D272" s="215" t="s">
        <v>515</v>
      </c>
    </row>
    <row r="273" spans="1:4">
      <c r="A273" t="s">
        <v>339</v>
      </c>
      <c r="B273" s="13"/>
      <c r="C273" s="14" t="e">
        <f>'APPENDIX A FOR INPUT'!#REF!</f>
        <v>#REF!</v>
      </c>
      <c r="D273" s="13"/>
    </row>
    <row r="274" spans="1:4">
      <c r="A274" s="15"/>
      <c r="B274" s="15"/>
      <c r="C274" s="15"/>
      <c r="D274" s="15"/>
    </row>
    <row r="275" spans="1:4">
      <c r="A275" s="15" t="s">
        <v>184</v>
      </c>
      <c r="B275" s="16">
        <v>1750</v>
      </c>
      <c r="C275" s="16">
        <f>SUM('APPENDIX A FOR INPUT'!F436:F437)</f>
        <v>1250</v>
      </c>
      <c r="D275" s="16">
        <f>SUM('APPENDIX A FOR INPUT'!J436:J437)</f>
        <v>1750</v>
      </c>
    </row>
    <row r="276" spans="1:4">
      <c r="A276" s="15" t="s">
        <v>185</v>
      </c>
      <c r="B276" s="16">
        <f>SUM(B274:B275)</f>
        <v>1750</v>
      </c>
      <c r="C276" s="16">
        <f>SUM(C274:C275)</f>
        <v>1250</v>
      </c>
      <c r="D276" s="16">
        <f>SUM(D274:D275)</f>
        <v>1750</v>
      </c>
    </row>
    <row r="277" spans="1:4">
      <c r="B277" s="19"/>
      <c r="C277" s="19"/>
      <c r="D277" s="19"/>
    </row>
    <row r="279" spans="1:4" ht="15.75">
      <c r="A279" s="12" t="s">
        <v>205</v>
      </c>
      <c r="B279" s="12"/>
      <c r="C279" s="12"/>
      <c r="D279" s="217" t="s">
        <v>510</v>
      </c>
    </row>
    <row r="280" spans="1:4">
      <c r="A280" t="s">
        <v>339</v>
      </c>
      <c r="B280" s="13"/>
      <c r="C280" s="14" t="e">
        <f>'APPENDIX A FOR INPUT'!#REF!</f>
        <v>#REF!</v>
      </c>
      <c r="D280" s="13"/>
    </row>
    <row r="281" spans="1:4">
      <c r="A281" s="15"/>
      <c r="B281" s="15"/>
      <c r="C281" s="15"/>
      <c r="D281" s="15"/>
    </row>
    <row r="282" spans="1:4">
      <c r="A282" s="15" t="s">
        <v>184</v>
      </c>
      <c r="B282" s="16">
        <f>'APPENDIX A FOR INPUT'!F442</f>
        <v>4000</v>
      </c>
      <c r="C282" s="16">
        <f>'APPENDIX A FOR INPUT'!F442</f>
        <v>4000</v>
      </c>
      <c r="D282" s="16">
        <f>'APPENDIX A FOR INPUT'!J442</f>
        <v>4000</v>
      </c>
    </row>
    <row r="283" spans="1:4">
      <c r="A283" s="15" t="s">
        <v>185</v>
      </c>
      <c r="B283" s="16">
        <f>SUM(B281:B282)</f>
        <v>4000</v>
      </c>
      <c r="C283" s="16">
        <f>SUM(C281:C282)</f>
        <v>4000</v>
      </c>
      <c r="D283" s="16">
        <f>SUM(D281:D282)</f>
        <v>4000</v>
      </c>
    </row>
    <row r="284" spans="1:4">
      <c r="B284" s="19"/>
      <c r="C284" s="19"/>
      <c r="D284" s="19"/>
    </row>
    <row r="285" spans="1:4" hidden="1"/>
    <row r="286" spans="1:4" ht="15.75" hidden="1">
      <c r="A286" s="12" t="str">
        <f>'[1]brd of health'!A1</f>
        <v>DEPARTMENT NAME</v>
      </c>
      <c r="B286" s="12"/>
      <c r="C286" s="12"/>
      <c r="D286" s="12"/>
    </row>
    <row r="287" spans="1:4" hidden="1"/>
    <row r="288" spans="1:4" hidden="1">
      <c r="B288" s="13" t="e">
        <f>'APPENDIX A FOR INPUT'!#REF!</f>
        <v>#REF!</v>
      </c>
      <c r="C288" s="13" t="e">
        <f>'APPENDIX A FOR INPUT'!#REF!</f>
        <v>#REF!</v>
      </c>
      <c r="D288" s="13" t="e">
        <f>'APPENDIX A FOR INPUT'!#REF!</f>
        <v>#REF!</v>
      </c>
    </row>
    <row r="289" spans="1:4" hidden="1">
      <c r="B289" s="13" t="s">
        <v>210</v>
      </c>
      <c r="C289" s="13" t="s">
        <v>210</v>
      </c>
      <c r="D289" s="13" t="s">
        <v>210</v>
      </c>
    </row>
    <row r="290" spans="1:4" hidden="1">
      <c r="A290" t="str">
        <f>'[1]brd of health'!B5</f>
        <v>ACCOUNT NAME</v>
      </c>
      <c r="B290" s="13" t="s">
        <v>179</v>
      </c>
      <c r="C290" s="13" t="s">
        <v>179</v>
      </c>
      <c r="D290" s="13" t="s">
        <v>211</v>
      </c>
    </row>
    <row r="291" spans="1:4" hidden="1">
      <c r="A291" s="15"/>
      <c r="B291" s="15"/>
      <c r="C291" s="15"/>
      <c r="D291" s="15"/>
    </row>
    <row r="292" spans="1:4" hidden="1">
      <c r="A292" s="15" t="s">
        <v>187</v>
      </c>
      <c r="B292" s="16" t="e">
        <f>SUM('APPENDIX A FOR INPUT'!#REF!)</f>
        <v>#REF!</v>
      </c>
      <c r="C292" s="16" t="e">
        <f>SUM('APPENDIX A FOR INPUT'!#REF!)</f>
        <v>#REF!</v>
      </c>
      <c r="D292" s="16" t="e">
        <f>SUM('APPENDIX A FOR INPUT'!#REF!)</f>
        <v>#REF!</v>
      </c>
    </row>
    <row r="293" spans="1:4" hidden="1">
      <c r="A293" s="15" t="s">
        <v>184</v>
      </c>
      <c r="B293" s="16" t="e">
        <f>SUM('APPENDIX A FOR INPUT'!#REF!)</f>
        <v>#REF!</v>
      </c>
      <c r="C293" s="16" t="e">
        <f>SUM('APPENDIX A FOR INPUT'!#REF!)</f>
        <v>#REF!</v>
      </c>
      <c r="D293" s="16" t="e">
        <f>SUM('APPENDIX A FOR INPUT'!#REF!)</f>
        <v>#REF!</v>
      </c>
    </row>
    <row r="294" spans="1:4" hidden="1">
      <c r="A294" s="15" t="s">
        <v>185</v>
      </c>
      <c r="B294" s="16" t="e">
        <f>SUM(B292:B293)</f>
        <v>#REF!</v>
      </c>
      <c r="C294" s="16" t="e">
        <f>SUM(C292:C293)</f>
        <v>#REF!</v>
      </c>
      <c r="D294" s="16" t="e">
        <f>SUM(D292:D293)</f>
        <v>#REF!</v>
      </c>
    </row>
    <row r="295" spans="1:4" hidden="1"/>
    <row r="296" spans="1:4" hidden="1"/>
    <row r="298" spans="1:4" ht="15.75">
      <c r="A298" s="12" t="s">
        <v>205</v>
      </c>
      <c r="B298" s="12"/>
      <c r="C298" s="12"/>
      <c r="D298" s="215" t="s">
        <v>511</v>
      </c>
    </row>
    <row r="299" spans="1:4">
      <c r="A299" t="s">
        <v>339</v>
      </c>
      <c r="B299" s="13"/>
      <c r="C299" s="14" t="e">
        <f>'APPENDIX A FOR INPUT'!#REF!</f>
        <v>#REF!</v>
      </c>
      <c r="D299" s="13"/>
    </row>
    <row r="300" spans="1:4">
      <c r="A300" s="15"/>
      <c r="B300" s="15"/>
      <c r="C300" s="15"/>
      <c r="D300" s="15"/>
    </row>
    <row r="301" spans="1:4">
      <c r="A301" s="15" t="s">
        <v>187</v>
      </c>
      <c r="B301" s="16">
        <v>600</v>
      </c>
      <c r="C301" s="16">
        <f>'APPENDIX A FOR INPUT'!F447</f>
        <v>371</v>
      </c>
      <c r="D301" s="16">
        <f>'APPENDIX A FOR INPUT'!J447</f>
        <v>600</v>
      </c>
    </row>
    <row r="302" spans="1:4">
      <c r="A302" s="15" t="s">
        <v>184</v>
      </c>
      <c r="B302" s="16">
        <v>8500</v>
      </c>
      <c r="C302" s="16">
        <f>SUM('APPENDIX A FOR INPUT'!F448:F452)</f>
        <v>7500</v>
      </c>
      <c r="D302" s="16">
        <f>SUM('APPENDIX A FOR INPUT'!J448:J452)</f>
        <v>8500</v>
      </c>
    </row>
    <row r="303" spans="1:4">
      <c r="A303" s="15" t="s">
        <v>185</v>
      </c>
      <c r="B303" s="16">
        <f>SUM(B301:B302)</f>
        <v>9100</v>
      </c>
      <c r="C303" s="16">
        <f>SUM(C301:C302)</f>
        <v>7871</v>
      </c>
      <c r="D303" s="16">
        <f>SUM(D301:D302)</f>
        <v>9100</v>
      </c>
    </row>
    <row r="306" spans="1:4" ht="15.75">
      <c r="A306" s="12" t="s">
        <v>205</v>
      </c>
      <c r="B306" s="12"/>
      <c r="C306" s="12"/>
      <c r="D306" s="215" t="s">
        <v>512</v>
      </c>
    </row>
    <row r="307" spans="1:4">
      <c r="A307" t="s">
        <v>339</v>
      </c>
      <c r="B307" s="13"/>
      <c r="C307" s="14" t="e">
        <f>'APPENDIX A FOR INPUT'!#REF!</f>
        <v>#REF!</v>
      </c>
      <c r="D307" s="13"/>
    </row>
    <row r="308" spans="1:4">
      <c r="A308" s="15"/>
      <c r="B308" s="15"/>
      <c r="C308" s="15"/>
      <c r="D308" s="15"/>
    </row>
    <row r="309" spans="1:4">
      <c r="A309" s="15" t="s">
        <v>316</v>
      </c>
      <c r="B309" s="16">
        <v>3000</v>
      </c>
      <c r="C309" s="16">
        <f>SUM('APPENDIX A FOR INPUT'!F457:F457)</f>
        <v>2292</v>
      </c>
      <c r="D309" s="16">
        <f>SUM('APPENDIX A FOR INPUT'!J457:J457)</f>
        <v>3000</v>
      </c>
    </row>
    <row r="310" spans="1:4">
      <c r="A310" s="15" t="s">
        <v>188</v>
      </c>
      <c r="B310" s="16">
        <f>'APPENDIX A FOR INPUT'!F458</f>
        <v>0</v>
      </c>
      <c r="C310" s="16">
        <f>'APPENDIX A FOR INPUT'!F458</f>
        <v>0</v>
      </c>
      <c r="D310" s="16">
        <f>'APPENDIX A FOR INPUT'!J458</f>
        <v>0</v>
      </c>
    </row>
    <row r="311" spans="1:4">
      <c r="A311" s="15" t="s">
        <v>185</v>
      </c>
      <c r="B311" s="16">
        <f>SUM(B309:B310)</f>
        <v>3000</v>
      </c>
      <c r="C311" s="16">
        <f>SUM(C309:C310)</f>
        <v>2292</v>
      </c>
      <c r="D311" s="16">
        <f>SUM(D309:D310)</f>
        <v>3000</v>
      </c>
    </row>
    <row r="314" spans="1:4" ht="15.75">
      <c r="A314" s="12" t="s">
        <v>205</v>
      </c>
      <c r="B314" s="12"/>
      <c r="C314" s="12"/>
      <c r="D314" s="215" t="s">
        <v>508</v>
      </c>
    </row>
    <row r="315" spans="1:4">
      <c r="A315" t="s">
        <v>339</v>
      </c>
      <c r="B315" s="13"/>
      <c r="C315" s="14" t="e">
        <f>'APPENDIX A FOR INPUT'!#REF!</f>
        <v>#REF!</v>
      </c>
      <c r="D315" s="13"/>
    </row>
    <row r="316" spans="1:4">
      <c r="A316" s="15"/>
      <c r="B316" s="15"/>
      <c r="C316" s="15"/>
      <c r="D316" s="15"/>
    </row>
    <row r="317" spans="1:4">
      <c r="A317" s="15" t="s">
        <v>187</v>
      </c>
      <c r="B317" s="16">
        <v>31954</v>
      </c>
      <c r="C317" s="16">
        <f>SUM('APPENDIX A FOR INPUT'!F463:F463)</f>
        <v>26000</v>
      </c>
      <c r="D317" s="16">
        <f>SUM('APPENDIX A FOR INPUT'!J463:J463)</f>
        <v>31954</v>
      </c>
    </row>
    <row r="318" spans="1:4">
      <c r="A318" s="15" t="s">
        <v>184</v>
      </c>
      <c r="B318" s="16">
        <v>10115</v>
      </c>
      <c r="C318" s="16">
        <f>SUM('APPENDIX A FOR INPUT'!F465:F472)</f>
        <v>9715</v>
      </c>
      <c r="D318" s="16">
        <f>SUM('APPENDIX A FOR INPUT'!J465:J472)</f>
        <v>10115</v>
      </c>
    </row>
    <row r="319" spans="1:4">
      <c r="A319" s="15" t="s">
        <v>188</v>
      </c>
      <c r="B319" s="16">
        <f>'APPENDIX A FOR INPUT'!F473</f>
        <v>0</v>
      </c>
      <c r="C319" s="16">
        <f>'APPENDIX A FOR INPUT'!F473</f>
        <v>0</v>
      </c>
      <c r="D319" s="16">
        <f>'APPENDIX A FOR INPUT'!J473</f>
        <v>0</v>
      </c>
    </row>
    <row r="320" spans="1:4">
      <c r="A320" s="15" t="s">
        <v>185</v>
      </c>
      <c r="B320" s="16">
        <f>SUM(B317:B319)</f>
        <v>42069</v>
      </c>
      <c r="C320" s="16">
        <f>SUM(C317:C318)</f>
        <v>35715</v>
      </c>
      <c r="D320" s="16">
        <f>SUM(D317:D319)</f>
        <v>42069</v>
      </c>
    </row>
    <row r="323" spans="1:4" ht="15.75">
      <c r="A323" s="12" t="s">
        <v>205</v>
      </c>
      <c r="B323" s="12"/>
      <c r="C323" s="12"/>
      <c r="D323" s="215" t="s">
        <v>189</v>
      </c>
    </row>
    <row r="324" spans="1:4">
      <c r="A324" t="s">
        <v>339</v>
      </c>
      <c r="B324" s="13"/>
      <c r="C324" s="14" t="e">
        <f>'APPENDIX A FOR INPUT'!#REF!</f>
        <v>#REF!</v>
      </c>
      <c r="D324" s="13"/>
    </row>
    <row r="325" spans="1:4">
      <c r="A325" s="15"/>
      <c r="B325" s="15"/>
      <c r="C325" s="15"/>
      <c r="D325" s="15"/>
    </row>
    <row r="326" spans="1:4">
      <c r="A326" s="15" t="s">
        <v>187</v>
      </c>
      <c r="B326" s="16">
        <f>'APPENDIX A FOR INPUT'!F478</f>
        <v>8487</v>
      </c>
      <c r="C326" s="16">
        <f>'APPENDIX A FOR INPUT'!F478</f>
        <v>8487</v>
      </c>
      <c r="D326" s="16">
        <f>'APPENDIX A FOR INPUT'!J478</f>
        <v>8487</v>
      </c>
    </row>
    <row r="327" spans="1:4">
      <c r="A327" s="15" t="s">
        <v>184</v>
      </c>
      <c r="B327" s="16">
        <f>SUM('APPENDIX A FOR INPUT'!F479:F482)</f>
        <v>4500</v>
      </c>
      <c r="C327" s="16">
        <f>SUM('APPENDIX A FOR INPUT'!F479:F482)</f>
        <v>4500</v>
      </c>
      <c r="D327" s="16">
        <f>SUM('APPENDIX A FOR INPUT'!J479:J482)</f>
        <v>4500</v>
      </c>
    </row>
    <row r="328" spans="1:4">
      <c r="A328" s="15" t="s">
        <v>189</v>
      </c>
      <c r="B328" s="16">
        <f>'APPENDIX A FOR INPUT'!F483</f>
        <v>40000</v>
      </c>
      <c r="C328" s="16">
        <f>'APPENDIX A FOR INPUT'!F483</f>
        <v>40000</v>
      </c>
      <c r="D328" s="16">
        <f>'APPENDIX A FOR INPUT'!J483</f>
        <v>40000</v>
      </c>
    </row>
    <row r="329" spans="1:4">
      <c r="A329" s="15" t="s">
        <v>185</v>
      </c>
      <c r="B329" s="16">
        <f>SUM(B326:B328)</f>
        <v>52987</v>
      </c>
      <c r="C329" s="16">
        <f>SUM(C326:C328)</f>
        <v>52987</v>
      </c>
      <c r="D329" s="16">
        <f>SUM(D326:D328)</f>
        <v>52987</v>
      </c>
    </row>
    <row r="332" spans="1:4" ht="15.75">
      <c r="A332" s="12" t="s">
        <v>205</v>
      </c>
      <c r="B332" s="12"/>
      <c r="C332" s="12"/>
      <c r="D332" s="215" t="s">
        <v>326</v>
      </c>
    </row>
    <row r="333" spans="1:4">
      <c r="A333" t="s">
        <v>339</v>
      </c>
      <c r="B333" s="13"/>
      <c r="C333" s="14" t="e">
        <f>'APPENDIX A FOR INPUT'!#REF!</f>
        <v>#REF!</v>
      </c>
      <c r="D333" s="13"/>
    </row>
    <row r="334" spans="1:4">
      <c r="A334" s="15"/>
      <c r="B334" s="15"/>
      <c r="C334" s="15"/>
      <c r="D334" s="15"/>
    </row>
    <row r="335" spans="1:4">
      <c r="A335" s="15" t="s">
        <v>187</v>
      </c>
      <c r="B335" s="16">
        <v>135652</v>
      </c>
      <c r="C335" s="16">
        <f>SUM('APPENDIX A FOR INPUT'!F488:F493)</f>
        <v>117660</v>
      </c>
      <c r="D335" s="16">
        <f>SUM('APPENDIX A FOR INPUT'!J488:J493)</f>
        <v>134152</v>
      </c>
    </row>
    <row r="336" spans="1:4">
      <c r="A336" s="15" t="s">
        <v>184</v>
      </c>
      <c r="B336" s="16">
        <v>48132</v>
      </c>
      <c r="C336" s="16">
        <f>SUM('APPENDIX A FOR INPUT'!F494:F506)</f>
        <v>35880</v>
      </c>
      <c r="D336" s="16">
        <f>SUM('APPENDIX A FOR INPUT'!J494:J508)</f>
        <v>40132</v>
      </c>
    </row>
    <row r="337" spans="1:4">
      <c r="A337" s="15" t="s">
        <v>188</v>
      </c>
      <c r="B337" s="16">
        <f>'APPENDIX A FOR INPUT'!F508</f>
        <v>0</v>
      </c>
      <c r="C337" s="16">
        <f>'APPENDIX A FOR INPUT'!F508</f>
        <v>0</v>
      </c>
      <c r="D337" s="16">
        <f>'APPENDIX A FOR INPUT'!J508</f>
        <v>0</v>
      </c>
    </row>
    <row r="338" spans="1:4">
      <c r="A338" s="15" t="s">
        <v>185</v>
      </c>
      <c r="B338" s="16">
        <f>SUM(B335:B337)</f>
        <v>183784</v>
      </c>
      <c r="C338" s="16">
        <f>SUM(C335:C337)</f>
        <v>153540</v>
      </c>
      <c r="D338" s="16">
        <f>SUM(D335:D337)</f>
        <v>174284</v>
      </c>
    </row>
    <row r="340" spans="1:4" hidden="1"/>
    <row r="341" spans="1:4" ht="15.75" hidden="1">
      <c r="A341" s="12" t="str">
        <f>'[1]historical comm'!A1</f>
        <v>DEPARTMENT NAME</v>
      </c>
      <c r="B341" s="12"/>
      <c r="C341" s="12"/>
      <c r="D341" s="12"/>
    </row>
    <row r="342" spans="1:4" hidden="1"/>
    <row r="343" spans="1:4" hidden="1">
      <c r="B343" s="13" t="e">
        <f>'APPENDIX A FOR INPUT'!#REF!</f>
        <v>#REF!</v>
      </c>
      <c r="C343" s="13" t="e">
        <f>'APPENDIX A FOR INPUT'!#REF!</f>
        <v>#REF!</v>
      </c>
      <c r="D343" s="13" t="e">
        <f>'APPENDIX A FOR INPUT'!#REF!</f>
        <v>#REF!</v>
      </c>
    </row>
    <row r="344" spans="1:4" hidden="1">
      <c r="B344" s="13" t="s">
        <v>210</v>
      </c>
      <c r="C344" s="13" t="s">
        <v>210</v>
      </c>
      <c r="D344" s="13" t="s">
        <v>210</v>
      </c>
    </row>
    <row r="345" spans="1:4" hidden="1">
      <c r="A345" t="str">
        <f>'[1]historical comm'!B5</f>
        <v>ACCOUNT NAME</v>
      </c>
      <c r="B345" s="13" t="s">
        <v>179</v>
      </c>
      <c r="C345" s="13" t="s">
        <v>179</v>
      </c>
      <c r="D345" s="13" t="s">
        <v>211</v>
      </c>
    </row>
    <row r="346" spans="1:4" hidden="1">
      <c r="A346" s="15"/>
      <c r="B346" s="15"/>
      <c r="C346" s="15"/>
      <c r="D346" s="15"/>
    </row>
    <row r="347" spans="1:4" hidden="1">
      <c r="A347" s="15" t="s">
        <v>184</v>
      </c>
      <c r="B347" s="16" t="e">
        <f>SUM('APPENDIX A FOR INPUT'!#REF!)</f>
        <v>#REF!</v>
      </c>
      <c r="C347" s="16" t="e">
        <f>SUM('APPENDIX A FOR INPUT'!#REF!)</f>
        <v>#REF!</v>
      </c>
      <c r="D347" s="16" t="e">
        <f>SUM('APPENDIX A FOR INPUT'!#REF!)</f>
        <v>#REF!</v>
      </c>
    </row>
    <row r="348" spans="1:4" hidden="1">
      <c r="A348" s="15" t="s">
        <v>185</v>
      </c>
      <c r="B348" s="16" t="e">
        <f>SUM(B347:B347)</f>
        <v>#REF!</v>
      </c>
      <c r="C348" s="16" t="e">
        <f>SUM(C347:C347)</f>
        <v>#REF!</v>
      </c>
      <c r="D348" s="16" t="e">
        <f>SUM(D347:D347)</f>
        <v>#REF!</v>
      </c>
    </row>
    <row r="349" spans="1:4" hidden="1"/>
    <row r="351" spans="1:4" ht="15.75">
      <c r="A351" s="12" t="str">
        <f>[1]celebrations!A1</f>
        <v>DEPARTMENT NAME</v>
      </c>
      <c r="B351" s="12"/>
      <c r="C351" s="12"/>
      <c r="D351" s="215" t="s">
        <v>514</v>
      </c>
    </row>
    <row r="353" spans="1:4" hidden="1">
      <c r="B353" s="13" t="e">
        <f>'APPENDIX A FOR INPUT'!#REF!</f>
        <v>#REF!</v>
      </c>
      <c r="C353" s="13" t="e">
        <f>'APPENDIX A FOR INPUT'!#REF!</f>
        <v>#REF!</v>
      </c>
      <c r="D353" s="13" t="e">
        <f>'APPENDIX A FOR INPUT'!#REF!</f>
        <v>#REF!</v>
      </c>
    </row>
    <row r="354" spans="1:4">
      <c r="B354" s="13" t="s">
        <v>210</v>
      </c>
      <c r="C354" s="13" t="s">
        <v>210</v>
      </c>
      <c r="D354" s="13" t="s">
        <v>210</v>
      </c>
    </row>
    <row r="355" spans="1:4">
      <c r="A355" t="str">
        <f>[1]celebrations!B5</f>
        <v>ACCOUNT NAME</v>
      </c>
      <c r="B355" s="13" t="s">
        <v>179</v>
      </c>
      <c r="C355" s="13" t="s">
        <v>179</v>
      </c>
      <c r="D355" s="13" t="s">
        <v>211</v>
      </c>
    </row>
    <row r="356" spans="1:4">
      <c r="A356" s="15"/>
      <c r="B356" s="15"/>
      <c r="C356" s="15"/>
      <c r="D356" s="15"/>
    </row>
    <row r="357" spans="1:4" hidden="1">
      <c r="A357" s="15" t="s">
        <v>187</v>
      </c>
      <c r="B357" s="16" t="e">
        <f>SUM('APPENDIX A FOR INPUT'!#REF!)</f>
        <v>#REF!</v>
      </c>
      <c r="C357" s="16" t="e">
        <f>SUM('APPENDIX A FOR INPUT'!#REF!)</f>
        <v>#REF!</v>
      </c>
      <c r="D357" s="16" t="e">
        <f>SUM('APPENDIX A FOR INPUT'!#REF!)</f>
        <v>#REF!</v>
      </c>
    </row>
    <row r="358" spans="1:4">
      <c r="A358" s="15" t="s">
        <v>184</v>
      </c>
      <c r="B358" s="16">
        <v>1500</v>
      </c>
      <c r="C358" s="16">
        <f>SUM('APPENDIX A FOR INPUT'!F527)</f>
        <v>1000</v>
      </c>
      <c r="D358" s="16">
        <f>SUM('APPENDIX A FOR INPUT'!J527)</f>
        <v>1500</v>
      </c>
    </row>
    <row r="359" spans="1:4">
      <c r="A359" s="15" t="s">
        <v>185</v>
      </c>
      <c r="B359" s="16">
        <f>SUM(B358)</f>
        <v>1500</v>
      </c>
      <c r="C359" s="16" t="e">
        <f>SUM(C357:C358)</f>
        <v>#REF!</v>
      </c>
      <c r="D359" s="16">
        <f>SUM(D358)</f>
        <v>1500</v>
      </c>
    </row>
    <row r="362" spans="1:4" ht="15.75">
      <c r="A362" s="12" t="s">
        <v>205</v>
      </c>
      <c r="B362" s="12"/>
      <c r="C362" s="12"/>
      <c r="D362" s="215" t="s">
        <v>513</v>
      </c>
    </row>
    <row r="363" spans="1:4">
      <c r="A363" t="s">
        <v>339</v>
      </c>
      <c r="B363" s="13"/>
      <c r="C363" s="14" t="e">
        <f>'APPENDIX A FOR INPUT'!#REF!</f>
        <v>#REF!</v>
      </c>
      <c r="D363" s="13"/>
    </row>
    <row r="364" spans="1:4">
      <c r="A364" s="15"/>
      <c r="B364" s="15"/>
      <c r="C364" s="15"/>
      <c r="D364" s="15"/>
    </row>
    <row r="365" spans="1:4">
      <c r="A365" s="15" t="s">
        <v>184</v>
      </c>
      <c r="B365" s="16">
        <v>200</v>
      </c>
      <c r="C365" s="16">
        <f>SUM('APPENDIX A FOR INPUT'!F512:F519)</f>
        <v>100</v>
      </c>
      <c r="D365" s="16">
        <f>SUM('APPENDIX A FOR INPUT'!J512:J519)</f>
        <v>200</v>
      </c>
    </row>
    <row r="366" spans="1:4">
      <c r="A366" s="15" t="s">
        <v>185</v>
      </c>
      <c r="B366" s="16">
        <f>SUM(B365:B365)</f>
        <v>200</v>
      </c>
      <c r="C366" s="16">
        <f>SUM(C365:C365)</f>
        <v>100</v>
      </c>
      <c r="D366" s="16">
        <f>SUM(D365:D365)</f>
        <v>200</v>
      </c>
    </row>
    <row r="368" spans="1:4" hidden="1"/>
    <row r="369" spans="1:4" ht="15.75" hidden="1">
      <c r="A369" s="12" t="str">
        <f>[1]pensions!A1</f>
        <v>DEPARTMENT NAME</v>
      </c>
      <c r="B369" s="12"/>
      <c r="C369" s="12"/>
      <c r="D369" s="12"/>
    </row>
    <row r="370" spans="1:4" hidden="1"/>
    <row r="371" spans="1:4" hidden="1">
      <c r="B371" s="13" t="e">
        <f>'APPENDIX A FOR INPUT'!#REF!</f>
        <v>#REF!</v>
      </c>
      <c r="C371" s="13" t="e">
        <f>'APPENDIX A FOR INPUT'!#REF!</f>
        <v>#REF!</v>
      </c>
      <c r="D371" s="13" t="e">
        <f>'APPENDIX A FOR INPUT'!#REF!</f>
        <v>#REF!</v>
      </c>
    </row>
    <row r="372" spans="1:4" hidden="1">
      <c r="B372" s="13" t="s">
        <v>210</v>
      </c>
      <c r="C372" s="13" t="s">
        <v>210</v>
      </c>
      <c r="D372" s="13" t="s">
        <v>210</v>
      </c>
    </row>
    <row r="373" spans="1:4" hidden="1">
      <c r="A373" t="str">
        <f>[1]pensions!B5</f>
        <v>ACCOUNT NAME</v>
      </c>
      <c r="B373" s="13" t="s">
        <v>179</v>
      </c>
      <c r="C373" s="13" t="s">
        <v>179</v>
      </c>
      <c r="D373" s="13" t="s">
        <v>211</v>
      </c>
    </row>
    <row r="374" spans="1:4" hidden="1">
      <c r="A374" s="15"/>
      <c r="B374" s="15"/>
      <c r="C374" s="15"/>
      <c r="D374" s="15"/>
    </row>
    <row r="375" spans="1:4" hidden="1">
      <c r="A375" s="15" t="s">
        <v>184</v>
      </c>
      <c r="B375" s="16" t="e">
        <f>SUM('APPENDIX A FOR INPUT'!#REF!)</f>
        <v>#REF!</v>
      </c>
      <c r="C375" s="16" t="e">
        <f>SUM('APPENDIX A FOR INPUT'!#REF!)</f>
        <v>#REF!</v>
      </c>
      <c r="D375" s="16" t="e">
        <f>SUM('APPENDIX A FOR INPUT'!#REF!)</f>
        <v>#REF!</v>
      </c>
    </row>
    <row r="376" spans="1:4" hidden="1">
      <c r="A376" s="15" t="s">
        <v>185</v>
      </c>
      <c r="B376" s="16" t="e">
        <f>SUM(B375:B375)</f>
        <v>#REF!</v>
      </c>
      <c r="C376" s="16" t="e">
        <f>SUM(C375:C375)</f>
        <v>#REF!</v>
      </c>
      <c r="D376" s="16" t="e">
        <f>SUM(D375:D375)</f>
        <v>#REF!</v>
      </c>
    </row>
    <row r="377" spans="1:4" hidden="1"/>
    <row r="379" spans="1:4" ht="15.75">
      <c r="A379" s="12" t="s">
        <v>205</v>
      </c>
      <c r="B379" s="12"/>
      <c r="C379" s="12"/>
      <c r="D379" s="215" t="s">
        <v>507</v>
      </c>
    </row>
    <row r="380" spans="1:4">
      <c r="A380" t="s">
        <v>339</v>
      </c>
      <c r="B380" s="13"/>
      <c r="C380" s="14" t="e">
        <f>'APPENDIX A FOR INPUT'!#REF!</f>
        <v>#REF!</v>
      </c>
      <c r="D380" s="13"/>
    </row>
    <row r="381" spans="1:4">
      <c r="A381" s="15"/>
      <c r="B381" s="15"/>
      <c r="C381" s="15"/>
      <c r="D381" s="15"/>
    </row>
    <row r="382" spans="1:4">
      <c r="A382" s="15" t="s">
        <v>315</v>
      </c>
      <c r="B382" s="16">
        <f>'APPENDIX A FOR INPUT'!F373</f>
        <v>100000</v>
      </c>
      <c r="C382" s="16">
        <f>'APPENDIX A FOR INPUT'!F373</f>
        <v>100000</v>
      </c>
      <c r="D382" s="16">
        <f>'APPENDIX A FOR INPUT'!J373</f>
        <v>100000</v>
      </c>
    </row>
    <row r="383" spans="1:4">
      <c r="A383" s="4" t="s">
        <v>309</v>
      </c>
      <c r="B383" s="16">
        <v>1399</v>
      </c>
      <c r="C383" s="16">
        <f>'APPENDIX A FOR INPUT'!F374</f>
        <v>1231</v>
      </c>
      <c r="D383" s="16">
        <f>'APPENDIX A FOR INPUT'!J374</f>
        <v>1399</v>
      </c>
    </row>
    <row r="384" spans="1:4">
      <c r="A384" s="218" t="s">
        <v>394</v>
      </c>
      <c r="B384" s="219">
        <f>'APPENDIX A FOR INPUT'!F377</f>
        <v>3000</v>
      </c>
      <c r="C384" s="219">
        <f>'APPENDIX A FOR INPUT'!F375</f>
        <v>0</v>
      </c>
      <c r="D384" s="219">
        <f>'APPENDIX A FOR INPUT'!J377</f>
        <v>3000</v>
      </c>
    </row>
    <row r="385" spans="1:4">
      <c r="A385" s="4" t="s">
        <v>385</v>
      </c>
      <c r="B385" s="222">
        <v>20000</v>
      </c>
      <c r="C385" s="222">
        <f>'APPENDIX A FOR INPUT'!F378</f>
        <v>30000</v>
      </c>
      <c r="D385" s="222">
        <f>'APPENDIX A FOR INPUT'!J378</f>
        <v>20000</v>
      </c>
    </row>
    <row r="386" spans="1:4">
      <c r="A386" s="4" t="s">
        <v>516</v>
      </c>
      <c r="B386" s="4">
        <v>1000</v>
      </c>
      <c r="C386" s="4"/>
      <c r="D386" s="4">
        <v>1000</v>
      </c>
    </row>
    <row r="387" spans="1:4">
      <c r="A387" s="220" t="s">
        <v>185</v>
      </c>
      <c r="B387" s="221">
        <f>SUM(B382:B386)</f>
        <v>125399</v>
      </c>
      <c r="C387" s="221">
        <f>SUM(C382:C384)</f>
        <v>101231</v>
      </c>
      <c r="D387" s="221">
        <f>SUM(D382:D386)</f>
        <v>125399</v>
      </c>
    </row>
    <row r="390" spans="1:4" ht="15.75">
      <c r="A390" s="12" t="s">
        <v>205</v>
      </c>
      <c r="B390" s="12"/>
      <c r="C390" s="12"/>
      <c r="D390" s="215" t="s">
        <v>344</v>
      </c>
    </row>
    <row r="391" spans="1:4">
      <c r="A391" t="s">
        <v>339</v>
      </c>
      <c r="B391" s="13"/>
      <c r="C391" s="14" t="e">
        <f>'APPENDIX A FOR INPUT'!#REF!</f>
        <v>#REF!</v>
      </c>
      <c r="D391" s="13"/>
    </row>
    <row r="392" spans="1:4">
      <c r="A392" s="15"/>
      <c r="B392" s="16"/>
      <c r="C392" s="16"/>
      <c r="D392" s="16"/>
    </row>
    <row r="393" spans="1:4">
      <c r="A393" s="16" t="str">
        <f>'APPENDIX A FOR INPUT'!D192</f>
        <v xml:space="preserve">BRISTOL COUNTY RETIREMENT     </v>
      </c>
      <c r="B393" s="16">
        <v>891595</v>
      </c>
      <c r="C393" s="16">
        <f>'APPENDIX A FOR INPUT'!F192</f>
        <v>777334</v>
      </c>
      <c r="D393" s="16">
        <f>'APPENDIX A FOR INPUT'!J192</f>
        <v>891595</v>
      </c>
    </row>
    <row r="394" spans="1:4">
      <c r="A394" s="16" t="str">
        <f>'APPENDIX A FOR INPUT'!D193</f>
        <v xml:space="preserve">MEDICARE                      </v>
      </c>
      <c r="B394" s="16">
        <v>195000</v>
      </c>
      <c r="C394" s="16">
        <f>'APPENDIX A FOR INPUT'!F193</f>
        <v>180000</v>
      </c>
      <c r="D394" s="16">
        <f>'APPENDIX A FOR INPUT'!J193</f>
        <v>195000</v>
      </c>
    </row>
    <row r="395" spans="1:4">
      <c r="A395" s="15" t="s">
        <v>185</v>
      </c>
      <c r="B395" s="16">
        <f>SUM(B393:B394)</f>
        <v>1086595</v>
      </c>
      <c r="C395" s="16">
        <f>SUM(C393:C394)</f>
        <v>957334</v>
      </c>
      <c r="D395" s="16">
        <f>SUM(D393:D394)</f>
        <v>1086595</v>
      </c>
    </row>
    <row r="398" spans="1:4" ht="15.75">
      <c r="A398" s="12" t="s">
        <v>205</v>
      </c>
      <c r="B398" s="12"/>
      <c r="C398" s="12"/>
      <c r="D398" s="215" t="s">
        <v>506</v>
      </c>
    </row>
    <row r="399" spans="1:4">
      <c r="A399" t="s">
        <v>339</v>
      </c>
      <c r="B399" s="13"/>
      <c r="C399" s="14" t="e">
        <f>'APPENDIX A FOR INPUT'!#REF!</f>
        <v>#REF!</v>
      </c>
      <c r="D399" s="13"/>
    </row>
    <row r="400" spans="1:4">
      <c r="A400" s="15"/>
      <c r="B400" s="16"/>
      <c r="C400" s="16"/>
      <c r="D400" s="16"/>
    </row>
    <row r="401" spans="1:4">
      <c r="A401" s="61" t="str">
        <f>'APPENDIX A FOR INPUT'!D208</f>
        <v>BLUE CROSS/ BLUE SHIELD HEALTH</v>
      </c>
      <c r="B401" s="16">
        <v>476833</v>
      </c>
      <c r="C401" s="16">
        <f>'APPENDIX A FOR INPUT'!F208</f>
        <v>430000</v>
      </c>
      <c r="D401" s="16">
        <f>'APPENDIX A FOR INPUT'!J208</f>
        <v>476832.55650000001</v>
      </c>
    </row>
    <row r="402" spans="1:4">
      <c r="A402" s="61" t="str">
        <f>'APPENDIX A FOR INPUT'!D209</f>
        <v xml:space="preserve">FLEXIBLE BENEFIT PLAN         </v>
      </c>
      <c r="B402" s="16">
        <f>'APPENDIX A FOR INPUT'!F209</f>
        <v>0</v>
      </c>
      <c r="C402" s="16">
        <f>'APPENDIX A FOR INPUT'!F209</f>
        <v>0</v>
      </c>
      <c r="D402" s="16">
        <f>'APPENDIX A FOR INPUT'!J209</f>
        <v>0</v>
      </c>
    </row>
    <row r="403" spans="1:4">
      <c r="A403" s="15" t="s">
        <v>185</v>
      </c>
      <c r="B403" s="16">
        <f>SUM(B401:B402)</f>
        <v>476833</v>
      </c>
      <c r="C403" s="16">
        <f>SUM(C401:C402)</f>
        <v>430000</v>
      </c>
      <c r="D403" s="16">
        <f>SUM(D401:D402)</f>
        <v>476832.55650000001</v>
      </c>
    </row>
    <row r="406" spans="1:4" ht="15.75">
      <c r="A406" s="12" t="s">
        <v>205</v>
      </c>
      <c r="B406" s="12"/>
      <c r="C406" s="12"/>
      <c r="D406" s="215" t="s">
        <v>505</v>
      </c>
    </row>
    <row r="407" spans="1:4">
      <c r="A407" t="s">
        <v>339</v>
      </c>
      <c r="B407" s="13"/>
      <c r="C407" s="14" t="e">
        <f>'APPENDIX A FOR INPUT'!#REF!</f>
        <v>#REF!</v>
      </c>
      <c r="D407" s="13"/>
    </row>
    <row r="408" spans="1:4">
      <c r="A408" s="15"/>
      <c r="B408" s="16"/>
      <c r="C408" s="16"/>
      <c r="D408" s="16"/>
    </row>
    <row r="409" spans="1:4">
      <c r="A409" s="61" t="str">
        <f>'APPENDIX A FOR INPUT'!D214</f>
        <v>INS. PR. DIS.-FIRE-POL. ACC. H</v>
      </c>
      <c r="B409" s="16">
        <v>67556</v>
      </c>
      <c r="C409" s="16">
        <f>'APPENDIX A FOR INPUT'!F214</f>
        <v>56516</v>
      </c>
      <c r="D409" s="16">
        <f>'APPENDIX A FOR INPUT'!J214</f>
        <v>67556</v>
      </c>
    </row>
    <row r="410" spans="1:4">
      <c r="A410" s="61" t="str">
        <f>'APPENDIX A FOR INPUT'!D215</f>
        <v xml:space="preserve">LIABILITY INSURANCE           </v>
      </c>
      <c r="B410" s="16">
        <v>84545</v>
      </c>
      <c r="C410" s="16">
        <f>'APPENDIX A FOR INPUT'!F215</f>
        <v>79390</v>
      </c>
      <c r="D410" s="16">
        <f>'APPENDIX A FOR INPUT'!J215</f>
        <v>84545</v>
      </c>
    </row>
    <row r="411" spans="1:4">
      <c r="A411" s="15" t="s">
        <v>185</v>
      </c>
      <c r="B411" s="16">
        <f>SUM(B409:B410)</f>
        <v>152101</v>
      </c>
      <c r="C411" s="16">
        <f>SUM(C409:C410)</f>
        <v>135906</v>
      </c>
      <c r="D411" s="16">
        <f>SUM(D409:D410)</f>
        <v>152101</v>
      </c>
    </row>
    <row r="414" spans="1:4" ht="15.75">
      <c r="A414" s="12" t="s">
        <v>205</v>
      </c>
      <c r="B414" s="12"/>
      <c r="C414" s="12"/>
      <c r="D414" s="215" t="s">
        <v>504</v>
      </c>
    </row>
    <row r="415" spans="1:4">
      <c r="A415" t="s">
        <v>339</v>
      </c>
      <c r="B415" s="13"/>
      <c r="C415" s="14" t="e">
        <f>'APPENDIX A FOR INPUT'!#REF!</f>
        <v>#REF!</v>
      </c>
      <c r="D415" s="13"/>
    </row>
    <row r="416" spans="1:4">
      <c r="A416" s="15"/>
      <c r="B416" s="16"/>
      <c r="C416" s="16"/>
      <c r="D416" s="16"/>
    </row>
    <row r="417" spans="1:5">
      <c r="A417" s="61" t="str">
        <f>'APPENDIX A FOR INPUT'!D198</f>
        <v xml:space="preserve">FRINGE BENEFIT/CHARGES        </v>
      </c>
      <c r="B417" s="16">
        <v>20000</v>
      </c>
      <c r="C417" s="16">
        <f>'APPENDIX A FOR INPUT'!F198</f>
        <v>14313</v>
      </c>
      <c r="D417" s="16">
        <f>'APPENDIX A FOR INPUT'!J198</f>
        <v>20000</v>
      </c>
    </row>
    <row r="418" spans="1:5">
      <c r="A418" s="15" t="s">
        <v>185</v>
      </c>
      <c r="B418" s="16">
        <f>SUM(B416:B417)</f>
        <v>20000</v>
      </c>
      <c r="C418" s="16">
        <f>SUM(C416:C417)</f>
        <v>14313</v>
      </c>
      <c r="D418" s="16">
        <f>SUM(D416:D417)</f>
        <v>20000</v>
      </c>
    </row>
    <row r="419" spans="1:5">
      <c r="B419" s="19"/>
      <c r="C419" s="19"/>
      <c r="D419" s="19"/>
    </row>
    <row r="421" spans="1:5" ht="15.75">
      <c r="A421" s="12" t="s">
        <v>205</v>
      </c>
      <c r="B421" s="12"/>
      <c r="C421" s="12"/>
      <c r="D421" s="215" t="s">
        <v>527</v>
      </c>
    </row>
    <row r="422" spans="1:5">
      <c r="A422" t="s">
        <v>339</v>
      </c>
      <c r="B422" s="13"/>
      <c r="C422" s="14" t="e">
        <f>'APPENDIX A FOR INPUT'!#REF!</f>
        <v>#REF!</v>
      </c>
      <c r="D422" s="13"/>
    </row>
    <row r="423" spans="1:5">
      <c r="A423" s="15"/>
      <c r="B423" s="16"/>
      <c r="C423" s="16"/>
      <c r="D423" s="16"/>
    </row>
    <row r="424" spans="1:5">
      <c r="A424" s="61" t="str">
        <f>'APPENDIX A FOR INPUT'!D203</f>
        <v xml:space="preserve">UNEMPLOYMENT INSURANCE        </v>
      </c>
      <c r="B424" s="16">
        <v>175000</v>
      </c>
      <c r="C424" s="16">
        <f>'APPENDIX A FOR INPUT'!F203</f>
        <v>5000</v>
      </c>
      <c r="D424" s="16">
        <f>'APPENDIX A FOR INPUT'!J203</f>
        <v>75000</v>
      </c>
    </row>
    <row r="425" spans="1:5">
      <c r="A425" s="15" t="s">
        <v>185</v>
      </c>
      <c r="B425" s="16">
        <f>SUM(B423:B424)</f>
        <v>175000</v>
      </c>
      <c r="C425" s="16">
        <f>SUM(C423:C424)</f>
        <v>5000</v>
      </c>
      <c r="D425" s="16">
        <f>SUM(D423:D424)</f>
        <v>75000</v>
      </c>
    </row>
    <row r="426" spans="1:5">
      <c r="B426" s="19"/>
      <c r="C426" s="19"/>
      <c r="D426" s="19"/>
    </row>
    <row r="427" spans="1:5">
      <c r="B427" s="244" t="s">
        <v>538</v>
      </c>
      <c r="C427" s="232"/>
      <c r="D427" s="245">
        <f>6801801</f>
        <v>6801801</v>
      </c>
    </row>
    <row r="428" spans="1:5">
      <c r="B428" s="244" t="s">
        <v>537</v>
      </c>
      <c r="C428" s="232"/>
      <c r="D428" s="245">
        <f>450000</f>
        <v>450000</v>
      </c>
    </row>
    <row r="429" spans="1:5">
      <c r="B429" s="244" t="s">
        <v>536</v>
      </c>
      <c r="C429" s="232"/>
      <c r="D429" s="243">
        <f>+D425+D418+D411+D403+D395+D387+D366+D359+D338+D329+D320+D311+D303+D283+D276+D269+D251+D243+D223+D214+D205+D196+D187+D178+D170+D151+D121+D112+D102+D93+D86+D76+D66+D56+D45+D39+D30+D12</f>
        <v>7351801.4764999989</v>
      </c>
    </row>
    <row r="431" spans="1:5" ht="18.75">
      <c r="A431" s="233" t="s">
        <v>540</v>
      </c>
      <c r="E431" s="119"/>
    </row>
    <row r="432" spans="1:5" ht="15.75">
      <c r="A432" s="12" t="s">
        <v>205</v>
      </c>
      <c r="B432" s="12"/>
      <c r="C432" s="12"/>
      <c r="D432" s="215" t="s">
        <v>501</v>
      </c>
    </row>
    <row r="433" spans="1:4">
      <c r="A433" t="s">
        <v>339</v>
      </c>
      <c r="B433" s="13"/>
      <c r="C433" s="14" t="e">
        <f>'APPENDIX A FOR INPUT'!#REF!</f>
        <v>#REF!</v>
      </c>
      <c r="D433" s="13"/>
    </row>
    <row r="434" spans="1:4">
      <c r="A434" s="15"/>
      <c r="B434" s="15"/>
      <c r="C434" s="15"/>
      <c r="D434" s="15"/>
    </row>
    <row r="435" spans="1:4">
      <c r="A435" s="61" t="str">
        <f>'APPENDIX A FOR INPUT'!D532</f>
        <v>TOWN OFFICE BLDG</v>
      </c>
      <c r="B435" s="17">
        <v>170000</v>
      </c>
      <c r="C435" s="17">
        <f>'APPENDIX A FOR INPUT'!F532</f>
        <v>160000</v>
      </c>
      <c r="D435" s="17">
        <f>'APPENDIX A FOR INPUT'!J532</f>
        <v>170000</v>
      </c>
    </row>
    <row r="436" spans="1:4">
      <c r="A436" s="61" t="str">
        <f>'APPENDIX A FOR INPUT'!D533</f>
        <v xml:space="preserve">SBRSD HIGH SCHOOL </v>
      </c>
      <c r="B436" s="17">
        <v>354624</v>
      </c>
      <c r="C436" s="17">
        <f>'APPENDIX A FOR INPUT'!F533</f>
        <v>370668</v>
      </c>
      <c r="D436" s="17">
        <f>'APPENDIX A FOR INPUT'!J533</f>
        <v>354634</v>
      </c>
    </row>
    <row r="437" spans="1:4">
      <c r="A437" s="61" t="str">
        <f>'APPENDIX A FOR INPUT'!D534</f>
        <v>Bristol Plymouth High School</v>
      </c>
      <c r="B437" s="17">
        <v>20434</v>
      </c>
      <c r="C437" s="17" t="e">
        <f>'APPENDIX A FOR INPUT'!#REF!</f>
        <v>#REF!</v>
      </c>
      <c r="D437" s="17">
        <f>'APPENDIX A FOR INPUT'!J534</f>
        <v>20434</v>
      </c>
    </row>
    <row r="438" spans="1:4">
      <c r="A438" s="61" t="str">
        <f>'APPENDIX A FOR INPUT'!D535</f>
        <v>Multiple Use of Equipment</v>
      </c>
      <c r="B438" s="216">
        <v>250000</v>
      </c>
      <c r="D438" s="17">
        <f>'APPENDIX A FOR INPUT'!J535</f>
        <v>250000</v>
      </c>
    </row>
    <row r="439" spans="1:4">
      <c r="A439" s="15" t="s">
        <v>185</v>
      </c>
      <c r="B439" s="16">
        <f>SUM(B435:B438)</f>
        <v>795058</v>
      </c>
      <c r="C439" s="16" t="e">
        <f>SUM(C435:C438)</f>
        <v>#REF!</v>
      </c>
      <c r="D439" s="16">
        <f>SUM(D435:D438)</f>
        <v>795068</v>
      </c>
    </row>
    <row r="442" spans="1:4" ht="15.75">
      <c r="A442" s="12" t="s">
        <v>205</v>
      </c>
      <c r="B442" s="12"/>
      <c r="C442" s="12"/>
      <c r="D442" s="215" t="s">
        <v>502</v>
      </c>
    </row>
    <row r="443" spans="1:4">
      <c r="A443" t="s">
        <v>339</v>
      </c>
      <c r="B443" s="13"/>
      <c r="C443" s="14" t="e">
        <f>'APPENDIX A FOR INPUT'!#REF!</f>
        <v>#REF!</v>
      </c>
      <c r="D443" s="13"/>
    </row>
    <row r="444" spans="1:4">
      <c r="A444" s="15"/>
      <c r="B444" s="15"/>
      <c r="C444" s="15"/>
      <c r="D444" s="15"/>
    </row>
    <row r="445" spans="1:4">
      <c r="A445" s="61" t="str">
        <f>'APPENDIX A FOR INPUT'!D539</f>
        <v>TOWN OFFICE BUILDING</v>
      </c>
      <c r="B445" s="17">
        <v>69600</v>
      </c>
      <c r="C445" s="17">
        <f>'APPENDIX A FOR INPUT'!F539</f>
        <v>39675</v>
      </c>
      <c r="D445" s="17">
        <f>'APPENDIX A FOR INPUT'!J539</f>
        <v>69600</v>
      </c>
    </row>
    <row r="446" spans="1:4">
      <c r="A446" s="61" t="str">
        <f>'APPENDIX A FOR INPUT'!D540</f>
        <v xml:space="preserve">SBRSD HIGH SCHOOL </v>
      </c>
      <c r="B446" s="17">
        <v>169585</v>
      </c>
      <c r="C446" s="17">
        <f>'APPENDIX A FOR INPUT'!F540</f>
        <v>211294</v>
      </c>
      <c r="D446" s="17">
        <f>'APPENDIX A FOR INPUT'!J540</f>
        <v>169585</v>
      </c>
    </row>
    <row r="447" spans="1:4">
      <c r="A447" s="61" t="str">
        <f>'APPENDIX A FOR INPUT'!D541</f>
        <v>Bristol Plymouth High School</v>
      </c>
      <c r="B447" s="17">
        <v>219348</v>
      </c>
      <c r="C447" s="17" t="e">
        <f>'APPENDIX A FOR INPUT'!#REF!</f>
        <v>#REF!</v>
      </c>
      <c r="D447" s="17">
        <f>'APPENDIX A FOR INPUT'!J541</f>
        <v>219348</v>
      </c>
    </row>
    <row r="448" spans="1:4">
      <c r="A448" s="61" t="str">
        <f>'APPENDIX A FOR INPUT'!D542</f>
        <v>Multiple Use of Equipment</v>
      </c>
      <c r="B448" s="17">
        <v>14963</v>
      </c>
      <c r="C448" s="17" t="e">
        <f>'APPENDIX A FOR INPUT'!#REF!</f>
        <v>#REF!</v>
      </c>
      <c r="D448" s="17">
        <f>'APPENDIX A FOR INPUT'!J542</f>
        <v>14962.5</v>
      </c>
    </row>
    <row r="449" spans="1:8">
      <c r="A449" s="15" t="s">
        <v>185</v>
      </c>
      <c r="B449" s="16">
        <f>SUM(B445:B448)</f>
        <v>473496</v>
      </c>
      <c r="C449" s="16" t="e">
        <f>SUM(#REF!)</f>
        <v>#REF!</v>
      </c>
      <c r="D449" s="16">
        <f>SUM(D445:D448)</f>
        <v>473495.5</v>
      </c>
    </row>
    <row r="451" spans="1:8">
      <c r="B451" s="244" t="s">
        <v>538</v>
      </c>
      <c r="D451" s="243">
        <f>+D449+D439</f>
        <v>1268563.5</v>
      </c>
    </row>
    <row r="453" spans="1:8" ht="18.75">
      <c r="A453" s="233" t="s">
        <v>543</v>
      </c>
    </row>
    <row r="454" spans="1:8" ht="15.75">
      <c r="A454" s="12" t="s">
        <v>205</v>
      </c>
      <c r="B454" s="12"/>
      <c r="C454" s="12"/>
      <c r="D454" s="215" t="s">
        <v>503</v>
      </c>
    </row>
    <row r="455" spans="1:8">
      <c r="A455" t="s">
        <v>339</v>
      </c>
      <c r="B455" s="13"/>
      <c r="C455" s="14" t="e">
        <f>'APPENDIX A FOR INPUT'!#REF!</f>
        <v>#REF!</v>
      </c>
      <c r="D455" s="13"/>
    </row>
    <row r="456" spans="1:8">
      <c r="A456" s="15"/>
      <c r="B456" s="15"/>
      <c r="C456" s="15"/>
      <c r="D456" s="15"/>
    </row>
    <row r="457" spans="1:8">
      <c r="A457" s="15" t="s">
        <v>528</v>
      </c>
      <c r="B457" s="16">
        <v>8733445</v>
      </c>
      <c r="C457" s="16">
        <f>'APPENDIX A FOR INPUT'!F382</f>
        <v>8261472</v>
      </c>
      <c r="D457" s="16">
        <f>'APPENDIX A FOR INPUT'!J382</f>
        <v>8715624</v>
      </c>
    </row>
    <row r="458" spans="1:8">
      <c r="A458" s="15" t="s">
        <v>316</v>
      </c>
      <c r="B458" s="16">
        <v>1200</v>
      </c>
      <c r="C458" s="16">
        <f>'APPENDIX A FOR INPUT'!F383</f>
        <v>938</v>
      </c>
      <c r="D458" s="16">
        <f>'APPENDIX A FOR INPUT'!J383</f>
        <v>1200</v>
      </c>
    </row>
    <row r="459" spans="1:8">
      <c r="A459" s="15" t="s">
        <v>396</v>
      </c>
      <c r="B459" s="16">
        <f>325310</f>
        <v>325310</v>
      </c>
      <c r="C459" s="16"/>
      <c r="D459" s="16">
        <f>'APPENDIX A FOR INPUT'!J384</f>
        <v>325310</v>
      </c>
    </row>
    <row r="460" spans="1:8">
      <c r="A460" s="15" t="s">
        <v>372</v>
      </c>
      <c r="B460" s="16">
        <f>1037085+636324+47307+82732</f>
        <v>1803448</v>
      </c>
      <c r="C460" s="16">
        <f>SUM('APPENDIX A FOR INPUT'!F385:F388)</f>
        <v>1644441</v>
      </c>
      <c r="D460" s="16">
        <f>SUM('APPENDIX A FOR INPUT'!J385:J388)</f>
        <v>1803448.2140000002</v>
      </c>
    </row>
    <row r="461" spans="1:8">
      <c r="A461" s="16" t="s">
        <v>313</v>
      </c>
      <c r="B461" s="17">
        <v>2747558</v>
      </c>
      <c r="C461" s="17">
        <f>'APPENDIX A FOR INPUT'!F389</f>
        <v>2694331</v>
      </c>
      <c r="D461" s="17">
        <f>'APPENDIX A FOR INPUT'!J389</f>
        <v>2747558</v>
      </c>
    </row>
    <row r="462" spans="1:8">
      <c r="A462" s="15" t="s">
        <v>334</v>
      </c>
      <c r="B462" s="16">
        <v>1332200</v>
      </c>
      <c r="C462" s="16">
        <f>'APPENDIX A FOR INPUT'!F390</f>
        <v>969035</v>
      </c>
      <c r="D462" s="16">
        <f>'APPENDIX A FOR INPUT'!J390</f>
        <v>1332200</v>
      </c>
    </row>
    <row r="463" spans="1:8">
      <c r="A463" s="16" t="s">
        <v>314</v>
      </c>
      <c r="B463" s="17">
        <v>139953</v>
      </c>
      <c r="C463" s="17">
        <f>'APPENDIX A FOR INPUT'!F391</f>
        <v>137950</v>
      </c>
      <c r="D463" s="17">
        <f>'APPENDIX A FOR INPUT'!J391</f>
        <v>139953.24</v>
      </c>
    </row>
    <row r="464" spans="1:8">
      <c r="A464" s="16" t="s">
        <v>382</v>
      </c>
      <c r="B464" s="17">
        <v>79040</v>
      </c>
      <c r="C464" s="17" t="e">
        <f>'APPENDIX A FOR INPUT'!#REF!</f>
        <v>#REF!</v>
      </c>
      <c r="D464" s="17">
        <f>'APPENDIX A FOR INPUT'!J392</f>
        <v>79040</v>
      </c>
      <c r="H464" s="19">
        <f>B457+B458+B460+B462+B463</f>
        <v>12010246</v>
      </c>
    </row>
    <row r="465" spans="1:7">
      <c r="A465" s="15" t="s">
        <v>185</v>
      </c>
      <c r="B465" s="16">
        <f>SUM(B457:B464)</f>
        <v>15162154</v>
      </c>
      <c r="C465" s="16" t="e">
        <f>SUM(C457:C464)</f>
        <v>#REF!</v>
      </c>
      <c r="D465" s="16">
        <f>SUM(D457:D464)</f>
        <v>15144333.454</v>
      </c>
    </row>
    <row r="466" spans="1:7">
      <c r="B466" s="19"/>
      <c r="C466" s="19"/>
      <c r="D466" s="19"/>
    </row>
    <row r="467" spans="1:7">
      <c r="B467" s="249" t="s">
        <v>541</v>
      </c>
      <c r="G467" s="60">
        <f>+D470+D451+D429</f>
        <v>20938100.430500001</v>
      </c>
    </row>
    <row r="468" spans="1:7">
      <c r="B468" s="246" t="s">
        <v>542</v>
      </c>
      <c r="C468" s="19"/>
      <c r="D468" s="245">
        <v>735342</v>
      </c>
    </row>
    <row r="469" spans="1:7">
      <c r="B469" s="244" t="s">
        <v>538</v>
      </c>
      <c r="D469" s="245">
        <v>11552393</v>
      </c>
      <c r="E469" s="119"/>
    </row>
    <row r="470" spans="1:7">
      <c r="B470" s="244" t="s">
        <v>536</v>
      </c>
      <c r="D470" s="247">
        <f>+D465-D461-D464</f>
        <v>12317735.454</v>
      </c>
    </row>
    <row r="472" spans="1:7">
      <c r="B472" s="249" t="s">
        <v>544</v>
      </c>
    </row>
    <row r="473" spans="1:7">
      <c r="B473" s="244" t="s">
        <v>545</v>
      </c>
      <c r="D473" s="245">
        <f>D461</f>
        <v>2747558</v>
      </c>
    </row>
    <row r="474" spans="1:7">
      <c r="B474" s="244" t="s">
        <v>538</v>
      </c>
      <c r="D474" s="245">
        <f>D464</f>
        <v>79040</v>
      </c>
    </row>
    <row r="475" spans="1:7">
      <c r="B475" s="244" t="s">
        <v>536</v>
      </c>
      <c r="D475" s="245">
        <f>SUM(D473:D474)</f>
        <v>2826598</v>
      </c>
    </row>
    <row r="476" spans="1:7" ht="15.75" thickBot="1"/>
    <row r="477" spans="1:7" ht="15.75" thickBot="1">
      <c r="A477" s="58" t="s">
        <v>173</v>
      </c>
      <c r="B477" s="234">
        <f>+B425+B418+B411+B403+B395+B449+B439+B387+B366+B359+B338+B329+B320+B311+B303+B283+B276+B269+B465+B251+B243+B223+B214+B205+B196+B187+B178+B170+B151+B121+B112+B102+B93+B86+B76+B66+B56+B46+B39+B30+B12</f>
        <v>23973748.920000002</v>
      </c>
      <c r="C477" s="234" t="e">
        <f>+C425+C418+C411+C403+C395+C449+C439+C387+C366+C359+C338+C329+C320+C311+C303+C283+C276+C269+C465+C251+C243+C223+C214+C205+C196+C187+C178+C170+C151+C121+C112+C102+C93+C86+C76+C66+C56+C46+C39+C30+C12</f>
        <v>#REF!</v>
      </c>
      <c r="D477" s="234">
        <f>+D425+D418+D411+D403+D395+D449+D439+D387+D366+D359+D338+D329+D320+D311+D303+D283+D276+D269+D465+D251+D243+D223+D214+D205+D196+D187+D178+D170+D151+D121+D112+D102+D93+D86+D76+D66+D56+D46+D39+D30+D12</f>
        <v>23764698.430500001</v>
      </c>
    </row>
  </sheetData>
  <mergeCells count="1">
    <mergeCell ref="A1:E1"/>
  </mergeCells>
  <printOptions horizontalCentered="1"/>
  <pageMargins left="0.25" right="0.25" top="0.75" bottom="0.75" header="0.3" footer="0.3"/>
  <pageSetup fitToHeight="0" orientation="portrait" r:id="rId1"/>
  <rowBreaks count="9" manualBreakCount="9">
    <brk id="58" max="3" man="1"/>
    <brk id="95" max="3" man="1"/>
    <brk id="170" max="3" man="1"/>
    <brk id="207" max="3" man="1"/>
    <brk id="261" max="3" man="1"/>
    <brk id="313" max="3" man="1"/>
    <brk id="366" max="3" man="1"/>
    <brk id="413" max="3" man="1"/>
    <brk id="452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cde53ac1-bf5f-4aae-9cf1-07509e23a4b0" origin="userSelected"/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dXNlclNlbGVjdGVkIiAvPjxVc2VyTmFtZT5VU1xob2FrZTwvVXNlck5hbWU+PERhdGVUaW1lPjUvMS8yMDE4IDI6MDY6MzIgQU08L0RhdGVUaW1lPjxMYWJlbFN0cmluZz5UaGlzIGFydGlmYWN0IGhhcyBubyBjbGFzc2lmaWNhdGlvbi48L0xhYmVsU3RyaW5nPjwvaXRlbT48L2xhYmVsSGlzdG9yeT4=</Value>
</WrappedLabelHistory>
</file>

<file path=customXml/itemProps1.xml><?xml version="1.0" encoding="utf-8"?>
<ds:datastoreItem xmlns:ds="http://schemas.openxmlformats.org/officeDocument/2006/customXml" ds:itemID="{D22F9B07-9124-4123-A8E4-CC61D4DBF7B8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742813A7-049A-4E6F-A5FF-4C6D0D7F40E4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Final Page for Print</vt:lpstr>
      <vt:lpstr>APPENDIX A FOR INPUT</vt:lpstr>
      <vt:lpstr>Budget Distribution</vt:lpstr>
      <vt:lpstr>Revenue Sources</vt:lpstr>
      <vt:lpstr>Operating Budget for Print</vt:lpstr>
      <vt:lpstr>'APPENDIX A FOR INPUT'!Print_Area</vt:lpstr>
      <vt:lpstr>'Budget Distribution'!Print_Area</vt:lpstr>
      <vt:lpstr>'Operating Budget for Print'!Print_Area</vt:lpstr>
      <vt:lpstr>'Revenue Sources'!Print_Area</vt:lpstr>
      <vt:lpstr>'APPENDIX A FOR INPUT'!Print_Titles</vt:lpstr>
      <vt:lpstr>'Operating Budget for Print'!Print_Titles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[rtnipcontrolcode:rtnipcontrolcodenone||rtnexportcontrolcountry:rtnexportcontrolcountrynone|rtnexportcontrolcode:rtnexportcontrolcodenone||]</dc:subject>
  <dc:creator>Cathy Doane</dc:creator>
  <cp:lastModifiedBy>Matthew Chabot</cp:lastModifiedBy>
  <cp:lastPrinted>2024-05-31T19:56:44Z</cp:lastPrinted>
  <dcterms:created xsi:type="dcterms:W3CDTF">2015-01-12T16:42:11Z</dcterms:created>
  <dcterms:modified xsi:type="dcterms:W3CDTF">2024-06-07T15:03:15Z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4ef69280-03a4-4861-9f2f-27d6bc3d4eda</vt:lpwstr>
  </property>
  <property fmtid="{D5CDD505-2E9C-101B-9397-08002B2CF9AE}" pid="3" name="bjDocumentSecurityLabel">
    <vt:lpwstr>This artifact has no classification.</vt:lpwstr>
  </property>
  <property fmtid="{D5CDD505-2E9C-101B-9397-08002B2CF9AE}" pid="4" name="rtnexportcontrolcode">
    <vt:lpwstr>rtnexportcontrolcodenone</vt:lpwstr>
  </property>
  <property fmtid="{D5CDD505-2E9C-101B-9397-08002B2CF9AE}" pid="5" name="rtnexportcontrolcountry">
    <vt:lpwstr>rtnexportcontrolcountrynone</vt:lpwstr>
  </property>
  <property fmtid="{D5CDD505-2E9C-101B-9397-08002B2CF9AE}" pid="6" name="rtnipcontrolcode">
    <vt:lpwstr>rtnipcontrolcodenone</vt:lpwstr>
  </property>
  <property fmtid="{D5CDD505-2E9C-101B-9397-08002B2CF9AE}" pid="7" name="bjSaver">
    <vt:lpwstr>qg3X6yYvr+g4TFV2HmFvj7nFTE6dbaM0</vt:lpwstr>
  </property>
  <property fmtid="{D5CDD505-2E9C-101B-9397-08002B2CF9AE}" pid="8" name="bjLabelHistoryID">
    <vt:lpwstr>{742813A7-049A-4E6F-A5FF-4C6D0D7F40E4}</vt:lpwstr>
  </property>
</Properties>
</file>