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D:\Budget FY2027\"/>
    </mc:Choice>
  </mc:AlternateContent>
  <xr:revisionPtr revIDLastSave="3" documentId="13_ncr:1_{DE4F0E95-AD27-4D18-A247-BA2AEDC24898}" xr6:coauthVersionLast="47" xr6:coauthVersionMax="47" xr10:uidLastSave="{48E03F86-F403-45CC-AB77-C62BC6E9D292}"/>
  <bookViews>
    <workbookView xWindow="-120" yWindow="-120" windowWidth="29040" windowHeight="15720" firstSheet="1" activeTab="2" xr2:uid="{00000000-000D-0000-FFFF-FFFF00000000}"/>
  </bookViews>
  <sheets>
    <sheet name="Town Calendar" sheetId="29" r:id="rId1"/>
    <sheet name="CIPR" sheetId="30" r:id="rId2"/>
    <sheet name="CIP Narrative" sheetId="27" r:id="rId3"/>
    <sheet name="Assets" sheetId="23" r:id="rId4"/>
    <sheet name="Facilities" sheetId="21" r:id="rId5"/>
    <sheet name="Financial Targets" sheetId="24" r:id="rId6"/>
  </sheets>
  <externalReferences>
    <externalReference r:id="rId7"/>
    <externalReference r:id="rId8"/>
    <externalReference r:id="rId9"/>
    <externalReference r:id="rId10"/>
    <externalReference r:id="rId11"/>
  </externalReferences>
  <definedNames>
    <definedName name="aidcalc">[1]aid436!$A$10:$AI$448</definedName>
    <definedName name="dec">[2]dec!$A$10:$O$449</definedName>
    <definedName name="disthist">[1]disthist!$A$10:$AN$448</definedName>
    <definedName name="distributions">[2]distributions!$A$10:$T$449</definedName>
    <definedName name="Header" localSheetId="0">[3]Parcels!$A$1:$T$1,[3]Parcels!$A$2:$T$2,[3]Parcels!$A$3:$T$3</definedName>
    <definedName name="Header">#REF!,#REF!,#REF!</definedName>
    <definedName name="_xlnm.Print_Area" localSheetId="2">'CIP Narrative'!$A$1:$L$38</definedName>
    <definedName name="_xlnm.Print_Area" localSheetId="5">'Financial Targets'!$C$2:$K$64</definedName>
    <definedName name="Reserves">[4]Reserves!$B$2:$W$354</definedName>
    <definedName name="Select">'[4]Assessed Values'!$A$1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27" l="1"/>
  <c r="I85" i="30"/>
  <c r="J85" i="30" s="1"/>
  <c r="K85" i="30" s="1"/>
  <c r="H85" i="30"/>
  <c r="G103" i="30"/>
  <c r="F14" i="24"/>
  <c r="F16" i="24"/>
  <c r="F9" i="24" l="1"/>
  <c r="C5" i="30" l="1"/>
  <c r="D5" i="30"/>
  <c r="E5" i="30"/>
  <c r="F5" i="30"/>
  <c r="G5" i="30"/>
  <c r="H5" i="30"/>
  <c r="I5" i="30"/>
  <c r="C13" i="30"/>
  <c r="D13" i="30"/>
  <c r="E13" i="30"/>
  <c r="F13" i="30"/>
  <c r="G13" i="30"/>
  <c r="H13" i="30"/>
  <c r="I13" i="30"/>
  <c r="J13" i="30"/>
  <c r="K13" i="30"/>
  <c r="L13" i="30"/>
  <c r="M13" i="30"/>
  <c r="I16" i="30"/>
  <c r="J16" i="30" s="1"/>
  <c r="C19" i="30"/>
  <c r="D19" i="30"/>
  <c r="E19" i="30"/>
  <c r="F19" i="30"/>
  <c r="G19" i="30"/>
  <c r="H19" i="30"/>
  <c r="I19" i="30"/>
  <c r="C42" i="30"/>
  <c r="D42" i="30"/>
  <c r="E42" i="30"/>
  <c r="F42" i="30"/>
  <c r="G42" i="30"/>
  <c r="H42" i="30"/>
  <c r="I42" i="30"/>
  <c r="J42" i="30"/>
  <c r="K42" i="30"/>
  <c r="L42" i="30"/>
  <c r="M42" i="30"/>
  <c r="C54" i="30"/>
  <c r="D54" i="30"/>
  <c r="E54" i="30"/>
  <c r="F54" i="30"/>
  <c r="G54" i="30"/>
  <c r="H54" i="30"/>
  <c r="I54" i="30"/>
  <c r="J54" i="30"/>
  <c r="K54" i="30"/>
  <c r="L54" i="30"/>
  <c r="M54" i="30"/>
  <c r="C78" i="30"/>
  <c r="D78" i="30"/>
  <c r="E78" i="30"/>
  <c r="F78" i="30"/>
  <c r="G78" i="30"/>
  <c r="H78" i="30"/>
  <c r="I78" i="30"/>
  <c r="J78" i="30"/>
  <c r="K78" i="30"/>
  <c r="L78" i="30"/>
  <c r="M78" i="30"/>
  <c r="C89" i="30"/>
  <c r="D89" i="30"/>
  <c r="E89" i="30"/>
  <c r="F89" i="30"/>
  <c r="G89" i="30"/>
  <c r="H89" i="30"/>
  <c r="I89" i="30"/>
  <c r="J89" i="30"/>
  <c r="K89" i="30"/>
  <c r="L89" i="30"/>
  <c r="M89" i="30"/>
  <c r="C93" i="30"/>
  <c r="D93" i="30"/>
  <c r="E93" i="30"/>
  <c r="F93" i="30"/>
  <c r="G93" i="30"/>
  <c r="H93" i="30"/>
  <c r="I93" i="30"/>
  <c r="J93" i="30"/>
  <c r="K93" i="30"/>
  <c r="L93" i="30"/>
  <c r="M93" i="30"/>
  <c r="C99" i="30"/>
  <c r="D99" i="30"/>
  <c r="E99" i="30"/>
  <c r="F99" i="30"/>
  <c r="G99" i="30"/>
  <c r="H99" i="30"/>
  <c r="I99" i="30"/>
  <c r="J99" i="30"/>
  <c r="K99" i="30"/>
  <c r="L99" i="30"/>
  <c r="M99" i="30"/>
  <c r="F103" i="30"/>
  <c r="E111" i="30"/>
  <c r="E113" i="30" s="1"/>
  <c r="F111" i="30"/>
  <c r="F113" i="30" s="1"/>
  <c r="C113" i="30"/>
  <c r="D113" i="30"/>
  <c r="G113" i="30"/>
  <c r="H113" i="30"/>
  <c r="I113" i="30"/>
  <c r="J113" i="30"/>
  <c r="K113" i="30"/>
  <c r="L113" i="30"/>
  <c r="M113" i="30"/>
  <c r="F55" i="30" l="1"/>
  <c r="E55" i="30"/>
  <c r="E101" i="30"/>
  <c r="G55" i="30"/>
  <c r="G101" i="30" s="1"/>
  <c r="J19" i="30"/>
  <c r="J55" i="30" s="1"/>
  <c r="J101" i="30" s="1"/>
  <c r="J114" i="30" s="1"/>
  <c r="K16" i="30"/>
  <c r="E114" i="30"/>
  <c r="D55" i="30"/>
  <c r="D101" i="30" s="1"/>
  <c r="D114" i="30" s="1"/>
  <c r="G114" i="30"/>
  <c r="I55" i="30"/>
  <c r="I101" i="30" s="1"/>
  <c r="I114" i="30" s="1"/>
  <c r="F101" i="30"/>
  <c r="F114" i="30" s="1"/>
  <c r="C55" i="30"/>
  <c r="C101" i="30" s="1"/>
  <c r="C114" i="30" s="1"/>
  <c r="H55" i="30"/>
  <c r="H101" i="30" s="1"/>
  <c r="H114" i="30" s="1"/>
  <c r="F18" i="24"/>
  <c r="C126" i="23"/>
  <c r="Q112" i="23"/>
  <c r="Q115" i="23"/>
  <c r="Q116" i="23"/>
  <c r="Q117" i="23"/>
  <c r="Q111" i="23"/>
  <c r="Q118" i="23" s="1"/>
  <c r="L118" i="23"/>
  <c r="O111" i="23"/>
  <c r="O112" i="23"/>
  <c r="Q9" i="23"/>
  <c r="Q10" i="23"/>
  <c r="Q11" i="23"/>
  <c r="Q12" i="23"/>
  <c r="Q13" i="23"/>
  <c r="Q14" i="23"/>
  <c r="Q15" i="23"/>
  <c r="Q16" i="23"/>
  <c r="Q17" i="23"/>
  <c r="Q28" i="23" s="1"/>
  <c r="Q18" i="23"/>
  <c r="Q19" i="23"/>
  <c r="Q20" i="23"/>
  <c r="Q21" i="23"/>
  <c r="Q22" i="23"/>
  <c r="Q23" i="23"/>
  <c r="Q24" i="23"/>
  <c r="Q25" i="23"/>
  <c r="Q26" i="23"/>
  <c r="Q27" i="23"/>
  <c r="Q31" i="23"/>
  <c r="Q32" i="23"/>
  <c r="Q71" i="23" s="1"/>
  <c r="Q33" i="23"/>
  <c r="Q34" i="23"/>
  <c r="Q35" i="23"/>
  <c r="Q36" i="23"/>
  <c r="Q37" i="23"/>
  <c r="Q38" i="23"/>
  <c r="Q39" i="23"/>
  <c r="Q40" i="23"/>
  <c r="Q41" i="23"/>
  <c r="Q42" i="23"/>
  <c r="Q43" i="23"/>
  <c r="Q44" i="23"/>
  <c r="Q45" i="23"/>
  <c r="Q46" i="23"/>
  <c r="Q47" i="23"/>
  <c r="Q48" i="23"/>
  <c r="Q49" i="23"/>
  <c r="Q50" i="23"/>
  <c r="Q51" i="23"/>
  <c r="Q52" i="23"/>
  <c r="Q53" i="23"/>
  <c r="Q54" i="23"/>
  <c r="Q55" i="23"/>
  <c r="Q56" i="23"/>
  <c r="Q57" i="23"/>
  <c r="Q58" i="23"/>
  <c r="Q59" i="23"/>
  <c r="Q60" i="23"/>
  <c r="Q61" i="23"/>
  <c r="Q62" i="23"/>
  <c r="Q63" i="23"/>
  <c r="Q64" i="23"/>
  <c r="Q65" i="23"/>
  <c r="Q66" i="23"/>
  <c r="Q67" i="23"/>
  <c r="Q68" i="23"/>
  <c r="Q69" i="23"/>
  <c r="Q70" i="23"/>
  <c r="Q74" i="23"/>
  <c r="Q92" i="23" s="1"/>
  <c r="Q75" i="23"/>
  <c r="Q76" i="23"/>
  <c r="Q77" i="23"/>
  <c r="Q78" i="23"/>
  <c r="Q79" i="23"/>
  <c r="Q80" i="23"/>
  <c r="Q81" i="23"/>
  <c r="Q82" i="23"/>
  <c r="Q83" i="23"/>
  <c r="Q84" i="23"/>
  <c r="Q85" i="23"/>
  <c r="Q86" i="23"/>
  <c r="Q87" i="23"/>
  <c r="Q88" i="23"/>
  <c r="Q89" i="23"/>
  <c r="Q90" i="23"/>
  <c r="Q91" i="23"/>
  <c r="Q95" i="23"/>
  <c r="Q96" i="23"/>
  <c r="Q97" i="23"/>
  <c r="Q102" i="23" s="1"/>
  <c r="Q98" i="23"/>
  <c r="Q99" i="23"/>
  <c r="Q100" i="23"/>
  <c r="Q101" i="23"/>
  <c r="Q105" i="23"/>
  <c r="Q106" i="23"/>
  <c r="Q107" i="23" s="1"/>
  <c r="C127" i="23" s="1"/>
  <c r="Q5" i="23"/>
  <c r="Q6" i="23" s="1"/>
  <c r="C125" i="23"/>
  <c r="C124" i="23"/>
  <c r="A107" i="23"/>
  <c r="A102" i="23"/>
  <c r="A92" i="23"/>
  <c r="A6" i="23"/>
  <c r="A28" i="23"/>
  <c r="A71" i="23"/>
  <c r="L6" i="23"/>
  <c r="L107" i="23"/>
  <c r="K100" i="23"/>
  <c r="L102" i="23"/>
  <c r="O105" i="23"/>
  <c r="O106" i="23"/>
  <c r="K106" i="23"/>
  <c r="K105" i="23"/>
  <c r="K107" i="23" s="1"/>
  <c r="O101" i="23"/>
  <c r="K101" i="23"/>
  <c r="L92" i="23"/>
  <c r="L71" i="23"/>
  <c r="O70" i="23"/>
  <c r="K70" i="23"/>
  <c r="L28" i="23"/>
  <c r="K10" i="23"/>
  <c r="K11" i="23"/>
  <c r="K12" i="23"/>
  <c r="K13" i="23"/>
  <c r="K14" i="23"/>
  <c r="K15" i="23"/>
  <c r="K16" i="23"/>
  <c r="K17" i="23"/>
  <c r="K18" i="23"/>
  <c r="K19" i="23"/>
  <c r="K20" i="23"/>
  <c r="K21" i="23"/>
  <c r="K22" i="23"/>
  <c r="K23" i="23"/>
  <c r="K24" i="23"/>
  <c r="K25" i="23"/>
  <c r="K26" i="23"/>
  <c r="K27" i="23"/>
  <c r="K31" i="23"/>
  <c r="K71" i="23" s="1"/>
  <c r="K32" i="23"/>
  <c r="K33" i="23"/>
  <c r="K34" i="23"/>
  <c r="K35" i="23"/>
  <c r="K36" i="23"/>
  <c r="K37" i="23"/>
  <c r="K38" i="23"/>
  <c r="K39" i="23"/>
  <c r="K40" i="23"/>
  <c r="K41" i="23"/>
  <c r="K42" i="23"/>
  <c r="K43" i="23"/>
  <c r="K44" i="23"/>
  <c r="K45" i="23"/>
  <c r="K46" i="23"/>
  <c r="K47" i="23"/>
  <c r="K48" i="23"/>
  <c r="K49" i="23"/>
  <c r="K50" i="23"/>
  <c r="K51" i="23"/>
  <c r="K52" i="23"/>
  <c r="K53" i="23"/>
  <c r="K54" i="23"/>
  <c r="K55" i="23"/>
  <c r="K56" i="23"/>
  <c r="K57" i="23"/>
  <c r="K58" i="23"/>
  <c r="K59" i="23"/>
  <c r="K60" i="23"/>
  <c r="K61" i="23"/>
  <c r="K62" i="23"/>
  <c r="K63" i="23"/>
  <c r="K64" i="23"/>
  <c r="K65" i="23"/>
  <c r="K66" i="23"/>
  <c r="K67" i="23"/>
  <c r="K68" i="23"/>
  <c r="K69" i="23"/>
  <c r="K74" i="23"/>
  <c r="K75" i="23"/>
  <c r="K76" i="23"/>
  <c r="K77" i="23"/>
  <c r="K78" i="23"/>
  <c r="K79" i="23"/>
  <c r="K80" i="23"/>
  <c r="K81" i="23"/>
  <c r="K82" i="23"/>
  <c r="K83" i="23"/>
  <c r="K92" i="23" s="1"/>
  <c r="K84" i="23"/>
  <c r="K85" i="23"/>
  <c r="K86" i="23"/>
  <c r="K87" i="23"/>
  <c r="K88" i="23"/>
  <c r="K89" i="23"/>
  <c r="K90" i="23"/>
  <c r="K91" i="23"/>
  <c r="K116" i="23"/>
  <c r="K95" i="23"/>
  <c r="K102" i="23" s="1"/>
  <c r="K96" i="23"/>
  <c r="K97" i="23"/>
  <c r="K98" i="23"/>
  <c r="K99" i="23"/>
  <c r="K9" i="23"/>
  <c r="K5" i="23"/>
  <c r="O68" i="23"/>
  <c r="O5" i="23"/>
  <c r="O9" i="23"/>
  <c r="O10" i="23"/>
  <c r="O11" i="23"/>
  <c r="O12" i="23"/>
  <c r="O13" i="23"/>
  <c r="O53" i="23"/>
  <c r="O54" i="23"/>
  <c r="K19" i="30" l="1"/>
  <c r="K55" i="30" s="1"/>
  <c r="K101" i="30" s="1"/>
  <c r="K114" i="30" s="1"/>
  <c r="L16" i="30"/>
  <c r="K28" i="23"/>
  <c r="O17" i="23"/>
  <c r="O18" i="23"/>
  <c r="O19" i="23"/>
  <c r="O20" i="23"/>
  <c r="O21" i="23"/>
  <c r="O22" i="23"/>
  <c r="O23" i="23"/>
  <c r="O24" i="23"/>
  <c r="O25" i="23"/>
  <c r="O26" i="23"/>
  <c r="O27" i="23"/>
  <c r="O31" i="23"/>
  <c r="O32" i="23"/>
  <c r="O33" i="23"/>
  <c r="O34" i="23"/>
  <c r="O35" i="23"/>
  <c r="O36" i="23"/>
  <c r="O37" i="23"/>
  <c r="O38" i="23"/>
  <c r="O39" i="23"/>
  <c r="O40" i="23"/>
  <c r="O41" i="23"/>
  <c r="O42" i="23"/>
  <c r="O43" i="23"/>
  <c r="O44" i="23"/>
  <c r="O45" i="23"/>
  <c r="O46" i="23"/>
  <c r="O47" i="23"/>
  <c r="O48" i="23"/>
  <c r="O49" i="23"/>
  <c r="O50" i="23"/>
  <c r="O51" i="23"/>
  <c r="O52" i="23"/>
  <c r="O55" i="23"/>
  <c r="O56" i="23"/>
  <c r="O57" i="23"/>
  <c r="O58" i="23"/>
  <c r="O59" i="23"/>
  <c r="O60" i="23"/>
  <c r="O61" i="23"/>
  <c r="O62" i="23"/>
  <c r="O63" i="23"/>
  <c r="O64" i="23"/>
  <c r="O65" i="23"/>
  <c r="O66" i="23"/>
  <c r="O67" i="23"/>
  <c r="O69" i="23"/>
  <c r="O74" i="23"/>
  <c r="O75" i="23"/>
  <c r="O76" i="23"/>
  <c r="O77" i="23"/>
  <c r="O78" i="23"/>
  <c r="O79" i="23"/>
  <c r="O80" i="23"/>
  <c r="O81" i="23"/>
  <c r="O82" i="23"/>
  <c r="O83" i="23"/>
  <c r="O84" i="23"/>
  <c r="O85" i="23"/>
  <c r="O86" i="23"/>
  <c r="O87" i="23"/>
  <c r="O88" i="23"/>
  <c r="O89" i="23"/>
  <c r="O90" i="23"/>
  <c r="O91" i="23"/>
  <c r="O116" i="23"/>
  <c r="O95" i="23"/>
  <c r="O96" i="23"/>
  <c r="O97" i="23"/>
  <c r="O98" i="23"/>
  <c r="O99" i="23"/>
  <c r="O100" i="23"/>
  <c r="O15" i="23"/>
  <c r="O16" i="23"/>
  <c r="O14" i="23"/>
  <c r="N7" i="21"/>
  <c r="N37" i="21" s="1"/>
  <c r="N25" i="21"/>
  <c r="N33" i="21"/>
  <c r="N31" i="21"/>
  <c r="O35" i="21"/>
  <c r="O33" i="21"/>
  <c r="O31" i="21"/>
  <c r="O29" i="21"/>
  <c r="O27" i="21"/>
  <c r="O25" i="21"/>
  <c r="O23" i="21"/>
  <c r="O21" i="21"/>
  <c r="O19" i="21"/>
  <c r="O17" i="21"/>
  <c r="O15" i="21"/>
  <c r="O13" i="21"/>
  <c r="O11" i="21"/>
  <c r="O9" i="21"/>
  <c r="O7" i="21"/>
  <c r="F37" i="21"/>
  <c r="D9" i="24"/>
  <c r="M16" i="30" l="1"/>
  <c r="M19" i="30" s="1"/>
  <c r="M55" i="30" s="1"/>
  <c r="M101" i="30" s="1"/>
  <c r="M114" i="30" s="1"/>
  <c r="L19" i="30"/>
  <c r="L55" i="30" s="1"/>
  <c r="L101" i="30" s="1"/>
  <c r="L114" i="30" s="1"/>
  <c r="E46" i="24"/>
  <c r="G46" i="24"/>
  <c r="G33" i="24" l="1"/>
  <c r="G55" i="24" l="1"/>
  <c r="E55" i="24"/>
  <c r="G60" i="24"/>
  <c r="G54" i="24"/>
  <c r="G41" i="24"/>
  <c r="G47" i="24"/>
  <c r="E33" i="24"/>
  <c r="E37" i="24" l="1"/>
  <c r="E47" i="24" l="1"/>
  <c r="F62" i="24" l="1"/>
  <c r="I60" i="24"/>
  <c r="E60" i="24"/>
  <c r="G59" i="24"/>
  <c r="I59" i="24" s="1"/>
  <c r="G53" i="24"/>
  <c r="E41" i="24"/>
  <c r="E36" i="24"/>
  <c r="F20" i="24"/>
  <c r="F46" i="24" l="1"/>
  <c r="H28" i="24"/>
  <c r="F28" i="24"/>
  <c r="H46" i="24"/>
  <c r="F37" i="24"/>
  <c r="H30" i="24"/>
  <c r="F30" i="24"/>
  <c r="F55" i="24"/>
  <c r="H55" i="24"/>
  <c r="F47" i="24"/>
  <c r="F29" i="24"/>
  <c r="H29" i="24"/>
  <c r="H41" i="24"/>
  <c r="J60" i="24"/>
  <c r="H60" i="24"/>
  <c r="J53" i="24"/>
  <c r="H54" i="24"/>
  <c r="F54" i="24"/>
  <c r="F53" i="24"/>
  <c r="H47" i="24"/>
  <c r="J54" i="24"/>
  <c r="F36" i="24"/>
  <c r="H53" i="24"/>
  <c r="J59" i="24"/>
  <c r="F26" i="24"/>
  <c r="F41" i="24"/>
  <c r="F60" i="24"/>
  <c r="H26" i="24"/>
  <c r="H59" i="24"/>
  <c r="E59" i="24"/>
  <c r="F59" i="24" s="1"/>
  <c r="H36" i="24" l="1"/>
  <c r="H37" i="24"/>
  <c r="F27" i="24"/>
  <c r="F33" i="24" s="1"/>
  <c r="H27" i="24" l="1"/>
  <c r="H33" i="24" s="1"/>
</calcChain>
</file>

<file path=xl/sharedStrings.xml><?xml version="1.0" encoding="utf-8"?>
<sst xmlns="http://schemas.openxmlformats.org/spreadsheetml/2006/main" count="840" uniqueCount="546">
  <si>
    <t>Adopted Budget Calendar</t>
  </si>
  <si>
    <t>SB = Select Board</t>
  </si>
  <si>
    <t>FinCom = Finance Committee</t>
  </si>
  <si>
    <t>TA = Town Administrator</t>
  </si>
  <si>
    <t>CPC = Capital Planning Committee</t>
  </si>
  <si>
    <t>Acct = Town Accountant</t>
  </si>
  <si>
    <t>SchCom = School Committee</t>
  </si>
  <si>
    <t>FAC = Financial Advisory Committee</t>
  </si>
  <si>
    <t>Month</t>
  </si>
  <si>
    <t>Due By</t>
  </si>
  <si>
    <t>Responsibility</t>
  </si>
  <si>
    <t>Description</t>
  </si>
  <si>
    <t>November</t>
  </si>
  <si>
    <t>Acct</t>
  </si>
  <si>
    <t>Update capital planning inventory schedules (facilities, fleet, and equipment)</t>
  </si>
  <si>
    <t>TA/Acct</t>
  </si>
  <si>
    <t>Begin compiling revenue projections</t>
  </si>
  <si>
    <t>TA</t>
  </si>
  <si>
    <t xml:space="preserve">Update calendar for budget/capital plan deliverables for coming year </t>
  </si>
  <si>
    <t>December</t>
  </si>
  <si>
    <t>SchCom</t>
  </si>
  <si>
    <t>Regional SD meet with member communities to begin preparing annual operating budget</t>
  </si>
  <si>
    <t>FAC</t>
  </si>
  <si>
    <t>Set reserve and capital expenditure goals for the new year</t>
  </si>
  <si>
    <t>Budget kickoff meeting (SB to establish guidelines for the coming year)</t>
  </si>
  <si>
    <t>Prepare budget worksheets and standard forms for new fiscal year</t>
  </si>
  <si>
    <t>Distribute worksheets and memo outlining instructions and guidelines for coming year</t>
  </si>
  <si>
    <t>Distribute memo, worksheets, inventory schedules, and current multiyear plan</t>
  </si>
  <si>
    <t>Notify stakeholders of certified Free Cash  (GOAL)</t>
  </si>
  <si>
    <t>January</t>
  </si>
  <si>
    <t>Issue initial revenue projections to stakeholders</t>
  </si>
  <si>
    <t>Distribute calendar of scheduled department head budget appointments</t>
  </si>
  <si>
    <t>Depts</t>
  </si>
  <si>
    <t>Submit budget requests to Town Administrator</t>
  </si>
  <si>
    <t>Compile budget submissions</t>
  </si>
  <si>
    <t>February</t>
  </si>
  <si>
    <t>Issue updated revenue projections to stakeholders</t>
  </si>
  <si>
    <t>Issue consolidated capital package</t>
  </si>
  <si>
    <t>all month</t>
  </si>
  <si>
    <t>Meet with department heads, boards, and committees to review budget requests</t>
  </si>
  <si>
    <t>Meet with department heads, boards, and committees to review capital requests</t>
  </si>
  <si>
    <t>SB</t>
  </si>
  <si>
    <t>Request Board of Assessors to declare overlay surplus</t>
  </si>
  <si>
    <t>March</t>
  </si>
  <si>
    <t>Issue final revenue projections to stakeholders</t>
  </si>
  <si>
    <t>Regional SD operating budget is prepared and presented to the town</t>
  </si>
  <si>
    <t>Present draft budget recommendations to SB</t>
  </si>
  <si>
    <t>Prepare and distribute draft ATM warrant to SB and FinCom</t>
  </si>
  <si>
    <t>FinCom</t>
  </si>
  <si>
    <t>April</t>
  </si>
  <si>
    <t>Adopt operating budget and issue town assessments</t>
  </si>
  <si>
    <t>Finalize capital outlay, narratives for current year, and 5-year plan</t>
  </si>
  <si>
    <t>Distribute final warrant to SB and FinCom for article recommendations and votes</t>
  </si>
  <si>
    <t>Present multiyear capital plan and current year capital outlay to SB and FinCom</t>
  </si>
  <si>
    <t>Vote on warrant article recommendations</t>
  </si>
  <si>
    <t>Present final budget recommendations to SB</t>
  </si>
  <si>
    <t>Finalized ATM articles for printing</t>
  </si>
  <si>
    <t>May</t>
  </si>
  <si>
    <t>Post ATM warrant and meeting notification</t>
  </si>
  <si>
    <t>Local Election</t>
  </si>
  <si>
    <t>June</t>
  </si>
  <si>
    <t>Annual Town Meeting</t>
  </si>
  <si>
    <t>Town of Berkley</t>
  </si>
  <si>
    <t>Capital Plan/One-Time Purchases</t>
  </si>
  <si>
    <t>FY2029</t>
  </si>
  <si>
    <t>FY2030</t>
  </si>
  <si>
    <t>FY2031</t>
  </si>
  <si>
    <t>FY2032</t>
  </si>
  <si>
    <t>Dept #</t>
  </si>
  <si>
    <t>Project Name</t>
  </si>
  <si>
    <t>Budget</t>
  </si>
  <si>
    <t>Projected</t>
  </si>
  <si>
    <t>General Government</t>
  </si>
  <si>
    <t>Security System</t>
  </si>
  <si>
    <t>Well Replacement</t>
  </si>
  <si>
    <t>Fire Cistern Tank</t>
  </si>
  <si>
    <t>Computer Upgrades</t>
  </si>
  <si>
    <t>Poll Pads</t>
  </si>
  <si>
    <t xml:space="preserve">TOTAL General Government </t>
  </si>
  <si>
    <t>Police</t>
  </si>
  <si>
    <t>Police Cruiser, upfit, Tablet/printer and Equipment</t>
  </si>
  <si>
    <t>2 cruiser fy27/28 to catchup aging fleet</t>
  </si>
  <si>
    <t>Body Worn Cameras</t>
  </si>
  <si>
    <t>Radio Frequncy Upgrade / Portable Radios</t>
  </si>
  <si>
    <t>fy27 35,000 base/tower, $13,500 portables</t>
  </si>
  <si>
    <t>CJIS - IT upgrades</t>
  </si>
  <si>
    <t>Estimated</t>
  </si>
  <si>
    <t>Subtotal Police</t>
  </si>
  <si>
    <t>Fire/EMS</t>
  </si>
  <si>
    <t>Update Hoses and Nozzles</t>
  </si>
  <si>
    <t>SCBA</t>
  </si>
  <si>
    <t>Pick Paramedic Unit</t>
  </si>
  <si>
    <t>Command Vehicle</t>
  </si>
  <si>
    <t>Fire Alarm Station #2</t>
  </si>
  <si>
    <t>Replace Tanker #2</t>
  </si>
  <si>
    <t>Station #2 Garage Doors</t>
  </si>
  <si>
    <t xml:space="preserve">Fire Alarm Receiver </t>
  </si>
  <si>
    <t>Haz Gas Meters</t>
  </si>
  <si>
    <t>Power Stretchers</t>
  </si>
  <si>
    <t>Jaws of Life</t>
  </si>
  <si>
    <t xml:space="preserve">Primary Set Turnout Gear </t>
  </si>
  <si>
    <t>Replace Squad #1</t>
  </si>
  <si>
    <t>Large Diameter Hose</t>
  </si>
  <si>
    <t>Replace A-1</t>
  </si>
  <si>
    <t>New Computer Network</t>
  </si>
  <si>
    <t>Two Way Radio Replacement</t>
  </si>
  <si>
    <t>Replace Ladder #3</t>
  </si>
  <si>
    <t>Replace Engine #4</t>
  </si>
  <si>
    <t>Replace Car #1 and #2</t>
  </si>
  <si>
    <t>Mini Pumper/Forestry Unit</t>
  </si>
  <si>
    <t>Subtotal Fire</t>
  </si>
  <si>
    <t>Public Safety Building</t>
  </si>
  <si>
    <t xml:space="preserve"> Front Garage Doors</t>
  </si>
  <si>
    <t>Windows &amp; Vinyl Siding</t>
  </si>
  <si>
    <t xml:space="preserve"> LED Light Fixtures</t>
  </si>
  <si>
    <t xml:space="preserve">Construct Storage Building </t>
  </si>
  <si>
    <t>Replace Rear Garage Doors</t>
  </si>
  <si>
    <t>Replace Central Air Units</t>
  </si>
  <si>
    <t>Driveway and Parking Lots</t>
  </si>
  <si>
    <t>Replace Flooring</t>
  </si>
  <si>
    <t xml:space="preserve"> Bathrooms/Locker Rooms</t>
  </si>
  <si>
    <t>Subtotal Public Safety Building</t>
  </si>
  <si>
    <t>TOTAL Public Safety</t>
  </si>
  <si>
    <t>Berkley Public Schools</t>
  </si>
  <si>
    <t>BMS Library/Meeting Room AC Unit</t>
  </si>
  <si>
    <t>BMS Fire Alarm Panel</t>
  </si>
  <si>
    <t>BMS Heating &amp; Ventilation System Mother Board</t>
  </si>
  <si>
    <t>School and Town Well*</t>
  </si>
  <si>
    <t>Maintenance Pickup Truck</t>
  </si>
  <si>
    <t>Zero Turner Lawn Mower</t>
  </si>
  <si>
    <t>BMS Roof-25 Years Old</t>
  </si>
  <si>
    <t>Upgrade 50 Wifi Access Points at BMS</t>
  </si>
  <si>
    <t>Recabeling at BMS to CAT 6 or 7</t>
  </si>
  <si>
    <t>UPgrade Network Switches</t>
  </si>
  <si>
    <t>BMS Athletic Fields Reseeded</t>
  </si>
  <si>
    <t>Maintenance Tractor</t>
  </si>
  <si>
    <t>BMS Bathroom Partitions</t>
  </si>
  <si>
    <t>BMS Gymnasium Bleachers</t>
  </si>
  <si>
    <t>BMS Gymnasium Floor Refinish</t>
  </si>
  <si>
    <t>Resurface BMS Parking Lot</t>
  </si>
  <si>
    <t>BMS Interior &amp; Exterior Painting</t>
  </si>
  <si>
    <t>BMS Interior and Exterior Lighting</t>
  </si>
  <si>
    <t>Fob Access Points</t>
  </si>
  <si>
    <t>BMS Bells &amp; PA System</t>
  </si>
  <si>
    <t>TOTAL Education</t>
  </si>
  <si>
    <t>Transfer Station Building</t>
  </si>
  <si>
    <t xml:space="preserve">Security Cameras </t>
  </si>
  <si>
    <t>Loader</t>
  </si>
  <si>
    <t>Large Plow Truck</t>
  </si>
  <si>
    <t>Smoke/ Fire Alarm</t>
  </si>
  <si>
    <t>Pickup with Plow</t>
  </si>
  <si>
    <t>Medium Sized Dump Truck</t>
  </si>
  <si>
    <t>Roadside Mower</t>
  </si>
  <si>
    <t>Waste Oil Heater</t>
  </si>
  <si>
    <t xml:space="preserve">TOTAL Public Works </t>
  </si>
  <si>
    <t>TOTAL Health &amp; Human Services</t>
  </si>
  <si>
    <t>Berkley Public Library</t>
  </si>
  <si>
    <t>Staff Computer Upgrades</t>
  </si>
  <si>
    <t>TOTAL Culture &amp; Recreation</t>
  </si>
  <si>
    <t>TOTAL General Fund Capital</t>
  </si>
  <si>
    <t>Funding:</t>
  </si>
  <si>
    <t>Raise &amp; appropriate</t>
  </si>
  <si>
    <t>Free cash</t>
  </si>
  <si>
    <t>General Stabilization Fund</t>
  </si>
  <si>
    <t>____ Stab Fund</t>
  </si>
  <si>
    <t>Overlay surplus</t>
  </si>
  <si>
    <t>Borrowing</t>
  </si>
  <si>
    <t>Lease</t>
  </si>
  <si>
    <t>Grant</t>
  </si>
  <si>
    <t>Other</t>
  </si>
  <si>
    <t>Total Funding Sources</t>
  </si>
  <si>
    <t>Difference: General Fund Capital and Funding</t>
  </si>
  <si>
    <t>FY2027 Narrative</t>
  </si>
  <si>
    <t>Funding Priority</t>
  </si>
  <si>
    <t>Department</t>
  </si>
  <si>
    <t>Narrative</t>
  </si>
  <si>
    <t>Estimated Cost</t>
  </si>
  <si>
    <t>Funding Source</t>
  </si>
  <si>
    <t>Town Hall</t>
  </si>
  <si>
    <t>Well replacement has appeared on the capital list for several years and affects multiple departments, but “well replacement” is somewhat of a misnomer. The real need is a comprehensive pumphouse and redundancy solution to ensure reliable water service for Town facilities. The failure of the well in June 2025 highlighted the severity of this vulnerability: operations were significantly disrupted, and a comparable failure during the school year would be catastrophic. The Town cannot risk a repeat incident. Establishing a redundant and reliable source of supply is essential to maintaining continuous operations and protecting public safety.</t>
  </si>
  <si>
    <t>Free Cash</t>
  </si>
  <si>
    <t>Police Cruiser</t>
  </si>
  <si>
    <t>The Police Department’s cruiser fleet has now gone two years without replacement, and the impacts of continued deferral are becoming pronounced. Several vehicles have exceeded their recommended service life, resulting in higher maintenance costs, reduced reliability, and increasing downtime for repairs. An aging fleet compromises response capability and places additional strain on the remaining vehicles. Replacing a cruiser at this point is necessary to maintain safe, dependable operations and ensure that frontline officers have equipment suitable for sustained service demands.</t>
  </si>
  <si>
    <t>Fire/Rescue</t>
  </si>
  <si>
    <t>Tanker #2</t>
  </si>
  <si>
    <t>Fire apparatus of this scale carry long operational lifespans, and the current unit is approaching the end of its reliable service window. Continued deferral increases the risk of mechanical failure, reduces front-line readiness, and places added pressure on the remaining apparatus. Timely replacement ensures uninterrupted fire protection capability, maintains insurance and ISO considerations, and protects both residents and property.</t>
  </si>
  <si>
    <t>Non-Exempt Debt</t>
  </si>
  <si>
    <t xml:space="preserve">Police </t>
  </si>
  <si>
    <t>CJIS IT upgrades</t>
  </si>
  <si>
    <t>The Police Department requires immediate upgrades to its CJIS-connected computer systems to remain compliant with state and federal security standards. Current hardware and network components are outdated and no longer meet required CJIS specifications for data protection, access control, and system hardening. Failure to complete these upgrades risks non-compliance, potential loss of CJIS access, and significant operational disruption, as modern policing relies on secure, real-time information sharing. These upgrades are essential to maintaining officer safety, ensuring proper criminal records access, and protecting sensitive data across the department.</t>
  </si>
  <si>
    <t>Highway</t>
  </si>
  <si>
    <t>The Highway Department requires the replacement of its aging medium dump truck, which is no longer expected to pass inspection for a new sticker. Continued operation of the vehicle would present safety concerns and expose the Town to equipment failure during critical seasonal operations. The truck is essential for year-round road maintenance, snow operations, hauling, and support of other departments. Replacing it now prevents operational disruptions, reduces maintenance costs associated with an end-of-life asset, and ensures the department can maintain service levels—particularly during winter weather.</t>
  </si>
  <si>
    <t>School</t>
  </si>
  <si>
    <t>BMS Heating and Ventilation</t>
  </si>
  <si>
    <t>The motherboard controlling the heating and ventilation system at Berkley Middle School is failing and requires replacement to maintain stable building operations. As the central control component, its degradation has already caused interruptions in climate regulation and poses a significant risk of wider system failure. Loss of heating or ventilation would immediately disrupt school operations, potentially forcing partial or full building closures during the academic year. Replacing the motherboard is essential to ensure a safe, healthy learning environment and to prevent costly emergency repairs.</t>
  </si>
  <si>
    <t>The Highway Department requires the replacement of a pickup truck equipped with a plow to maintain reliable year-round operations. The department has retired multiple aging vehicles in recent years, leaving the fleet thin and increasingly strained during peak seasonal demands. This pickup is a core workhorse used for smaller road treatments, spot plowing, hauling materials, and daily maintenance tasks that cannot be supported by larger equipment. Without a dependable replacement, the department faces reduced responsiveness during winter storms and routine service interruptions. Replacing this unit ensures adequate fleet capacity, improves operational reliability, and preserves the Town’s ability to maintain safe roadway conditions.</t>
  </si>
  <si>
    <t>BMS Bell and PA System</t>
  </si>
  <si>
    <t>The manufacturer recently issued an end-of-life notice, meaning the system will no longer be serviced once it fails. Although it continues to function for now, waiting until it stops working would place the Town in a difficult position, similar to the challenges experienced with the well. Because the intercom is essential for the safe and effective operation of the building, the Town is actively exploring ways to fund its replacement sooner rather than later.</t>
  </si>
  <si>
    <t>Total</t>
  </si>
  <si>
    <t>All</t>
  </si>
  <si>
    <t>Represents 2.5% of Operating Budget</t>
  </si>
  <si>
    <t>Town/City</t>
  </si>
  <si>
    <t>ASSETS AND FLEET INVENTORY FORM</t>
  </si>
  <si>
    <t>#</t>
  </si>
  <si>
    <t>Dept</t>
  </si>
  <si>
    <t>Asset ID (VIN Number)</t>
  </si>
  <si>
    <t>Year Mnufctd</t>
  </si>
  <si>
    <t>Make</t>
  </si>
  <si>
    <t>Model</t>
  </si>
  <si>
    <t>Mileage/ Hours</t>
  </si>
  <si>
    <t>Useful Life (# yrs.)</t>
  </si>
  <si>
    <t>Purchase Price</t>
  </si>
  <si>
    <t>Vehicle Age (Years)</t>
  </si>
  <si>
    <t>*Replacement Cost or ACV</t>
  </si>
  <si>
    <t>Condition</t>
  </si>
  <si>
    <t>Year Purchased</t>
  </si>
  <si>
    <t>Year Rplcmt Needed</t>
  </si>
  <si>
    <t>Comments</t>
  </si>
  <si>
    <t>Depreciation</t>
  </si>
  <si>
    <t>Animal Control</t>
  </si>
  <si>
    <t>NM0LS7E28K1399471</t>
  </si>
  <si>
    <t>Ford Transit</t>
  </si>
  <si>
    <t>Ford</t>
  </si>
  <si>
    <t>Transit</t>
  </si>
  <si>
    <t>Good</t>
  </si>
  <si>
    <t>SUBTOTAL: ACO</t>
  </si>
  <si>
    <t>FIRE</t>
  </si>
  <si>
    <t>F80K4H47497</t>
  </si>
  <si>
    <t>FORD FIRE TRUCK F750</t>
  </si>
  <si>
    <t>Fire</t>
  </si>
  <si>
    <t>Poor</t>
  </si>
  <si>
    <t>1FDZU80U3EVA00335</t>
  </si>
  <si>
    <t>FORD FIRE TRUCK L8000</t>
  </si>
  <si>
    <t>1FDYK84A5JVA38984</t>
  </si>
  <si>
    <t>FORD FIRE TRUCK F800</t>
  </si>
  <si>
    <t>1HTSDADR01H294095</t>
  </si>
  <si>
    <t>INTERNATIONAL PUMPER TRUCK</t>
  </si>
  <si>
    <t>International</t>
  </si>
  <si>
    <t>Pumper Truck</t>
  </si>
  <si>
    <t>Fair</t>
  </si>
  <si>
    <t>4S7HT2B936C054139</t>
  </si>
  <si>
    <t>SPARTAN VA41M-2142</t>
  </si>
  <si>
    <t>Spartan</t>
  </si>
  <si>
    <t>1FMFU16557LA62716</t>
  </si>
  <si>
    <t>FORD EXPEDITION</t>
  </si>
  <si>
    <t>Expedition</t>
  </si>
  <si>
    <t>1FTBF2B64BEB32625</t>
  </si>
  <si>
    <t>FORD F250</t>
  </si>
  <si>
    <t>F250</t>
  </si>
  <si>
    <t>1GB6G5CL3B1127447</t>
  </si>
  <si>
    <t>CHEVROLET AMBULANCE</t>
  </si>
  <si>
    <t>Chevy</t>
  </si>
  <si>
    <t>Ambulance</t>
  </si>
  <si>
    <t>1GB6G5CLXD1122796</t>
  </si>
  <si>
    <t>1FVHG3DV3GHGT6906</t>
  </si>
  <si>
    <t>KME TANKER</t>
  </si>
  <si>
    <t>KME</t>
  </si>
  <si>
    <t>Tanker</t>
  </si>
  <si>
    <t>575GB1622JP360189</t>
  </si>
  <si>
    <t>HAUL UTILITY TRAILER</t>
  </si>
  <si>
    <t>1GNSKFEC2KR124513</t>
  </si>
  <si>
    <t>CHEVROLET TAHOE</t>
  </si>
  <si>
    <t>1GNSKLED8PR267464</t>
  </si>
  <si>
    <t>FIRE/RESCUE</t>
  </si>
  <si>
    <t>4ENDABA87R1004021</t>
  </si>
  <si>
    <t>E-ONE HURRICANE</t>
  </si>
  <si>
    <t>IFDKF38F6VEB68670</t>
  </si>
  <si>
    <t>FORD F350</t>
  </si>
  <si>
    <t>4YMBU0819JV011512</t>
  </si>
  <si>
    <t>COTC TRAILER</t>
  </si>
  <si>
    <t>3C7WRNCL7LG119850</t>
  </si>
  <si>
    <t>DODGE RAM AMBULANCE</t>
  </si>
  <si>
    <t>AS1UW24CLL2000089</t>
  </si>
  <si>
    <t>KIOTI ATV</t>
  </si>
  <si>
    <t>4B9BU142XNN160903</t>
  </si>
  <si>
    <t>NOFO TRAILER</t>
  </si>
  <si>
    <t>SUBTOTAL: FIRE/RESCUE</t>
  </si>
  <si>
    <t>HIGHWAY</t>
  </si>
  <si>
    <t>F90LVH42686</t>
  </si>
  <si>
    <t>FORD TRUCK L900</t>
  </si>
  <si>
    <t>LV5400D340889</t>
  </si>
  <si>
    <t>JOHN DEERE 5400</t>
  </si>
  <si>
    <t>1FDXR82A0JVA57338</t>
  </si>
  <si>
    <t>FORD -CONVEN</t>
  </si>
  <si>
    <t>PARKE UTILITY TRAILER</t>
  </si>
  <si>
    <t>2HSFEX6R2KC023633</t>
  </si>
  <si>
    <t>INTERNATIONAL TRACTOR</t>
  </si>
  <si>
    <t>1FTXR90L1NVA06922</t>
  </si>
  <si>
    <t>FORD TRACTOR</t>
  </si>
  <si>
    <t>710A157146822726</t>
  </si>
  <si>
    <t>CHAMPION GRADER</t>
  </si>
  <si>
    <t>1S9TS2023R1132057</t>
  </si>
  <si>
    <t>WRIGHT UTILITY TRAILER</t>
  </si>
  <si>
    <t>1FDYK82E0SVA29097</t>
  </si>
  <si>
    <t>FORD CONVEN</t>
  </si>
  <si>
    <t>1GTGK24R1VZ538884</t>
  </si>
  <si>
    <t>GMC PICKUP</t>
  </si>
  <si>
    <t>S8437D</t>
  </si>
  <si>
    <t>ELGIN PELICAN SWEEPER</t>
  </si>
  <si>
    <t>1GDJK34R6WF053523</t>
  </si>
  <si>
    <t>GMC SIERRA TRUCK</t>
  </si>
  <si>
    <t>1HTSEAANXWH510539</t>
  </si>
  <si>
    <t>INTERNATIONAL TRUCK</t>
  </si>
  <si>
    <t>3FDNF65651MA15088</t>
  </si>
  <si>
    <t>FORD DUMP TRUCK</t>
  </si>
  <si>
    <t>T0310SG922377</t>
  </si>
  <si>
    <t>JOHN DEERE BACKHOE</t>
  </si>
  <si>
    <t>1HTMMAANX3H569257</t>
  </si>
  <si>
    <t>INTERNATIONAL 4000</t>
  </si>
  <si>
    <t>S9194D</t>
  </si>
  <si>
    <t xml:space="preserve">ELGIN PELICAN  </t>
  </si>
  <si>
    <t>1FTWF31555EB95625</t>
  </si>
  <si>
    <t>FORD F350 PICKUP</t>
  </si>
  <si>
    <t>LV4720H371435</t>
  </si>
  <si>
    <t>JOHN DEERE TRACTOR</t>
  </si>
  <si>
    <t>1HTWDAAR67J425408</t>
  </si>
  <si>
    <t>INTERNATIONAL DUMP TRUCK</t>
  </si>
  <si>
    <t>1FTNF21578EA96542</t>
  </si>
  <si>
    <t>MA35999</t>
  </si>
  <si>
    <t>M&amp;M-JOHN DEERE CHIPPER</t>
  </si>
  <si>
    <t>1FTNX20528EE11696</t>
  </si>
  <si>
    <t>FORD-F-250</t>
  </si>
  <si>
    <t>4FVCABAAX9U408771</t>
  </si>
  <si>
    <t>INGERSOLL-COMPRESSOR</t>
  </si>
  <si>
    <t>5A3C612S996001585</t>
  </si>
  <si>
    <t>CARMATE TRAILER</t>
  </si>
  <si>
    <t>1DW544KZ0A0634045</t>
  </si>
  <si>
    <t>JOHN DEERE LOADER</t>
  </si>
  <si>
    <t>1FDUF5HY9DEA62041</t>
  </si>
  <si>
    <t>2GNFLCEK5D6378011</t>
  </si>
  <si>
    <t>CHEVROLET EQUINOX</t>
  </si>
  <si>
    <t>5F13D1411E1004097</t>
  </si>
  <si>
    <t>WANCO CONSTRUCTION TRAILER</t>
  </si>
  <si>
    <t>1FVAG3CY1GHHM2624</t>
  </si>
  <si>
    <t>FREIGHTLINER SD DUMP TRUCK</t>
  </si>
  <si>
    <t>1FDRF3H64KED02828</t>
  </si>
  <si>
    <t>1FTRF3B64KEE25977</t>
  </si>
  <si>
    <t>1FVHG3DV0LHKY0499</t>
  </si>
  <si>
    <t>FREIGHTLINER - 114SD</t>
  </si>
  <si>
    <t>4S8SZ1614LW041389</t>
  </si>
  <si>
    <t>MORBARK UTILITY TRAILER</t>
  </si>
  <si>
    <t>5VUTG1426NP000074</t>
  </si>
  <si>
    <t>WYLIE EXP800S TRAILER</t>
  </si>
  <si>
    <t>1T0410LXVNF427211</t>
  </si>
  <si>
    <t>JOHN DEERE 410L BACKHOE</t>
  </si>
  <si>
    <t>NP42367</t>
  </si>
  <si>
    <t>ELGIN PELICAN</t>
  </si>
  <si>
    <t>1FVAG3FE6RHUW6846</t>
  </si>
  <si>
    <t>FREIGHTLINER-114SD</t>
  </si>
  <si>
    <t>1FVAG3FE8RHUW6847</t>
  </si>
  <si>
    <t>1FTRF3BA5PED23437</t>
  </si>
  <si>
    <t>FORD-F350</t>
  </si>
  <si>
    <t>SUBTOTAL: HIGHWAY</t>
  </si>
  <si>
    <t>POLICE</t>
  </si>
  <si>
    <t>KUSTOM SPEED TRAILER</t>
  </si>
  <si>
    <t>1HD1FMM189Y668543</t>
  </si>
  <si>
    <t>HARLEY DAVIDSON MOTORCYCLE</t>
  </si>
  <si>
    <t>2FABP7BV18X112001</t>
  </si>
  <si>
    <t>FORD CROWN VICTORIA</t>
  </si>
  <si>
    <t>45SM81</t>
  </si>
  <si>
    <t>FORD TAURUS</t>
  </si>
  <si>
    <t>MP943F</t>
  </si>
  <si>
    <t>FORD EXPLORER</t>
  </si>
  <si>
    <t>MP944F</t>
  </si>
  <si>
    <t>C292</t>
  </si>
  <si>
    <t>FORD F150</t>
  </si>
  <si>
    <t>C293</t>
  </si>
  <si>
    <t>MPC760</t>
  </si>
  <si>
    <t>MPC759</t>
  </si>
  <si>
    <t>MPC761</t>
  </si>
  <si>
    <t>32N840</t>
  </si>
  <si>
    <t>MPE325</t>
  </si>
  <si>
    <t>PRO LINE ENCLOSED TRAILER</t>
  </si>
  <si>
    <t>MPE324</t>
  </si>
  <si>
    <t>H503</t>
  </si>
  <si>
    <t>MPG395</t>
  </si>
  <si>
    <t>LOAD RITE TRAILER</t>
  </si>
  <si>
    <t>4VMP54</t>
  </si>
  <si>
    <t>CHEVROLET TAHOE 4WD SSU</t>
  </si>
  <si>
    <t>G904</t>
  </si>
  <si>
    <t>CHEVROLET TAHOE 4WD PPV</t>
  </si>
  <si>
    <t>SUBTOTAL: POLICE</t>
  </si>
  <si>
    <t>SCHOOL</t>
  </si>
  <si>
    <t>1GBJK34R8YF501403</t>
  </si>
  <si>
    <t>CHEVROLET CHASIS</t>
  </si>
  <si>
    <t>LV4200H420781</t>
  </si>
  <si>
    <t>1FTRF3B6XBEB46968</t>
  </si>
  <si>
    <t>1FTNS2EW9DDB08365</t>
  </si>
  <si>
    <t>FORD E250 VAN</t>
  </si>
  <si>
    <t>5FNRL6H74KB039651</t>
  </si>
  <si>
    <t>HONDA ODYSSEY</t>
  </si>
  <si>
    <t>5FNRL6H78KB129076</t>
  </si>
  <si>
    <t>1FDUF5H9LEE11252</t>
  </si>
  <si>
    <t>FORD F550 SUPER DUTY</t>
  </si>
  <si>
    <t>SUBTOTAL: School</t>
  </si>
  <si>
    <t>MISCELLANEOUS</t>
  </si>
  <si>
    <t>DODGE-TRUCK</t>
  </si>
  <si>
    <t>FORD - TRANSIT VAN</t>
  </si>
  <si>
    <t>SUBTOTAL - MISCELLANEOUS</t>
  </si>
  <si>
    <t>Special Property</t>
  </si>
  <si>
    <t>S/N 1902 &amp; S/N 1388</t>
  </si>
  <si>
    <t>K-PACK ROLL-OFF
AND TARP ROLLER</t>
  </si>
  <si>
    <t>JE1647-700826</t>
  </si>
  <si>
    <t>CLUB CAR/GOLF CART</t>
  </si>
  <si>
    <t>FINE ARTS -UNSCHEDULED</t>
  </si>
  <si>
    <t>N/A</t>
  </si>
  <si>
    <t>MUSICAL INSTRUMENTS AND BAND UNIFORMS</t>
  </si>
  <si>
    <t>4 RICOH &amp; TOSHIBA PHOTOCOPIERS</t>
  </si>
  <si>
    <t>PXM07353B121 &amp; 63PX-1242952</t>
  </si>
  <si>
    <t>PARKER 1801 BOAT AND YAMAHA 150 MOTOR</t>
  </si>
  <si>
    <t>CABLE</t>
  </si>
  <si>
    <t>CABLE TELEVISION EQUIPMENT</t>
  </si>
  <si>
    <t>SUBTOTAL: SPECIAL PROPERTY</t>
  </si>
  <si>
    <r>
      <t xml:space="preserve">*Replacement Cost indicated in </t>
    </r>
    <r>
      <rPr>
        <sz val="10"/>
        <color rgb="FF00B050"/>
        <rFont val="Calibri"/>
        <family val="2"/>
        <scheme val="minor"/>
      </rPr>
      <t>green</t>
    </r>
  </si>
  <si>
    <t>TOTALS</t>
  </si>
  <si>
    <t>Asset Total</t>
  </si>
  <si>
    <t>Median Age (Years)</t>
  </si>
  <si>
    <t>Total Value</t>
  </si>
  <si>
    <t>Depreciation (Yearly)</t>
  </si>
  <si>
    <t>FACILITIES INVENTORY FORM</t>
  </si>
  <si>
    <t>Facility</t>
  </si>
  <si>
    <t>Year Built or Acquired</t>
  </si>
  <si>
    <t>Sq. Ft.</t>
  </si>
  <si>
    <t>Assessed Value</t>
  </si>
  <si>
    <t>Replacement Cost (est)</t>
  </si>
  <si>
    <t>Historic Building</t>
  </si>
  <si>
    <t>Use Type</t>
  </si>
  <si>
    <t>Last Major Improve</t>
  </si>
  <si>
    <t>Parcel ID</t>
  </si>
  <si>
    <t>Estimated Useful Life</t>
  </si>
  <si>
    <t>Yearly Depreciation</t>
  </si>
  <si>
    <t>Priority</t>
  </si>
  <si>
    <t>OLD TOWN HALL</t>
  </si>
  <si>
    <t>2 North Main St.</t>
  </si>
  <si>
    <t>Yes</t>
  </si>
  <si>
    <t>Light</t>
  </si>
  <si>
    <t>Historical Society</t>
  </si>
  <si>
    <t>027/011.0-0077-0000.0</t>
  </si>
  <si>
    <t>Likely residual</t>
  </si>
  <si>
    <t>Personal Property Within</t>
  </si>
  <si>
    <t>TOWN HALL</t>
  </si>
  <si>
    <t>1 North Main St.</t>
  </si>
  <si>
    <t>No</t>
  </si>
  <si>
    <t>Moderate</t>
  </si>
  <si>
    <t>Town</t>
  </si>
  <si>
    <t>027/011.0-0010-0000.0</t>
  </si>
  <si>
    <t>LIBRARY</t>
  </si>
  <si>
    <t>Library; grant application for replacement, estimated cost ~$16.3 million</t>
  </si>
  <si>
    <t>Likely Residual</t>
  </si>
  <si>
    <t>BUILDING #2 AND FUELING DEPOT</t>
  </si>
  <si>
    <t>3 North Main St.</t>
  </si>
  <si>
    <t>Heavy</t>
  </si>
  <si>
    <t>027/011.0-0009-0000.0</t>
  </si>
  <si>
    <t>Personal Property within</t>
  </si>
  <si>
    <t>BUILDING #1</t>
  </si>
  <si>
    <t>BUILDING #3 AND FUELING DEPOT</t>
  </si>
  <si>
    <t>OFFICE TRAILER RECYCLING</t>
  </si>
  <si>
    <t>3R North Main St.</t>
  </si>
  <si>
    <t>RECYCLE BUILDING</t>
  </si>
  <si>
    <t>10x16 SHED</t>
  </si>
  <si>
    <t>TRANSFER STATION</t>
  </si>
  <si>
    <t>PUBLIC SAFETY BUILDING</t>
  </si>
  <si>
    <t>Public Safety</t>
  </si>
  <si>
    <t>RADIO TRANSMITTER</t>
  </si>
  <si>
    <t>61 Bryant St.</t>
  </si>
  <si>
    <t xml:space="preserve">No </t>
  </si>
  <si>
    <t>027/012.0-0025-0000.0</t>
  </si>
  <si>
    <t>GROVE ST FIRE STATION</t>
  </si>
  <si>
    <t>6 Grove St.</t>
  </si>
  <si>
    <t>027/021.0-0073-0000.0</t>
  </si>
  <si>
    <t>BERKLEY COMMUNITY SCHOOL</t>
  </si>
  <si>
    <t>59 South Main St.</t>
  </si>
  <si>
    <t>School Department; slated for replacement, water intrusion, do not exceed budget of ~$89 million</t>
  </si>
  <si>
    <t>027/012.0-0007-0000.0</t>
  </si>
  <si>
    <t>BERKLEY MIDDLE SCHOOL</t>
  </si>
  <si>
    <t>21 North Main St.</t>
  </si>
  <si>
    <t>School Department; issues with roof</t>
  </si>
  <si>
    <t>027/011.0-0004-0004.0</t>
  </si>
  <si>
    <t>METAL BUILDING BMS</t>
  </si>
  <si>
    <t>School Department</t>
  </si>
  <si>
    <t>Instructions</t>
  </si>
  <si>
    <t>Section [I]:</t>
  </si>
  <si>
    <t>Enter values in the PEACH colored cells</t>
  </si>
  <si>
    <t>Section [III]:</t>
  </si>
  <si>
    <t>FINANCIAL TARGETS WORKSHEET</t>
  </si>
  <si>
    <t>[I]</t>
  </si>
  <si>
    <t>Policy Decisions</t>
  </si>
  <si>
    <t>Enter fiscal year being budgeted</t>
  </si>
  <si>
    <t>Minimum Cost of item to borrow</t>
  </si>
  <si>
    <t>?</t>
  </si>
  <si>
    <t>Minimum Cost of item requiring debt exclusion</t>
  </si>
  <si>
    <t>Enter % of Net Operating Revenues for:</t>
  </si>
  <si>
    <t>Enter revenue offsets (as positive amounts):</t>
  </si>
  <si>
    <t>Combined Reserves (i.e., FC/Stabil/Other)</t>
  </si>
  <si>
    <t>Excluded debt service for:</t>
  </si>
  <si>
    <t>Budgetary Reserve Fund</t>
  </si>
  <si>
    <t>Regional High School</t>
  </si>
  <si>
    <t>Capital Plan Funding-Direct debt</t>
  </si>
  <si>
    <t>Town Office Building</t>
  </si>
  <si>
    <t>Capital Plan Funding-Exempt debt</t>
  </si>
  <si>
    <t>Municipal Purpose</t>
  </si>
  <si>
    <t>Capital Plan Funding-Other sources</t>
  </si>
  <si>
    <t>Berkley Community School</t>
  </si>
  <si>
    <t>Debt service-Direct debt</t>
  </si>
  <si>
    <t>Bristol Plymouth Regional Technical</t>
  </si>
  <si>
    <t>Debt service-Exempt debt</t>
  </si>
  <si>
    <t>Add rows as needed and adjust formula.</t>
  </si>
  <si>
    <t>Enter % of Total Assessed Valuation for:</t>
  </si>
  <si>
    <t>Net Operating Revenues</t>
  </si>
  <si>
    <t>Debt service as a % of assessed value</t>
  </si>
  <si>
    <t>Total Outstanding debt as a % of assessed value</t>
  </si>
  <si>
    <t>Targets as a % of Operating Budget</t>
  </si>
  <si>
    <t>[II]</t>
  </si>
  <si>
    <t>Reserves</t>
  </si>
  <si>
    <t>Minimum</t>
  </si>
  <si>
    <t>TARGET</t>
  </si>
  <si>
    <t>Stabilization Fund</t>
  </si>
  <si>
    <t>Road Reconstruction/Municipal Buildings</t>
  </si>
  <si>
    <t>Capital Equipment</t>
  </si>
  <si>
    <t>COMBINED TOTAL RESERVES</t>
  </si>
  <si>
    <t>% of Net Operating Revenues</t>
  </si>
  <si>
    <t xml:space="preserve">Net </t>
  </si>
  <si>
    <t>Monthly</t>
  </si>
  <si>
    <t>GFOA Recommendation</t>
  </si>
  <si>
    <t>2 months Operating Revenues</t>
  </si>
  <si>
    <t>2 Months</t>
  </si>
  <si>
    <t>3 months Operating Revenues</t>
  </si>
  <si>
    <t>3 Months</t>
  </si>
  <si>
    <t>RESERVES - OTHER</t>
  </si>
  <si>
    <t>[III]</t>
  </si>
  <si>
    <t>Special Purpose Stabilization Funds</t>
  </si>
  <si>
    <t>[Other]</t>
  </si>
  <si>
    <t xml:space="preserve"> </t>
  </si>
  <si>
    <t>[IV]</t>
  </si>
  <si>
    <t>Capital Plan</t>
  </si>
  <si>
    <t>Maximum</t>
  </si>
  <si>
    <t>Annual capital plan [w/o exempt debt]</t>
  </si>
  <si>
    <t>Annual capital plan [with exempt + non exempt debt]</t>
  </si>
  <si>
    <t>Free Cash/Stabilization Funds</t>
  </si>
  <si>
    <t>[V]</t>
  </si>
  <si>
    <t>DEBT SERVICE</t>
  </si>
  <si>
    <t>(a)</t>
  </si>
  <si>
    <t>% of operating budget: non-excluded only</t>
  </si>
  <si>
    <t>% of operating budget: excluded and non-excluded</t>
  </si>
  <si>
    <t>Min cost of item debt eligible</t>
  </si>
  <si>
    <t>Total annual appropriation may not exceed 10% of prior year's tax levy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</si>
</sst>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s>
  <fonts count="49">
    <font>
      <sz val="10"/>
      <name val="Arial"/>
      <family val="2"/>
    </font>
    <font>
      <sz val="11"/>
      <color theme="1"/>
      <name val="Calibri"/>
      <family val="2"/>
      <scheme val="minor"/>
    </font>
    <font>
      <sz val="10"/>
      <name val="Arial"/>
      <family val="2"/>
    </font>
    <font>
      <sz val="10"/>
      <name val="Calibri"/>
      <family val="2"/>
      <scheme val="minor"/>
    </font>
    <font>
      <sz val="11"/>
      <color rgb="FF000000"/>
      <name val="Calibri"/>
      <family val="2"/>
      <scheme val="minor"/>
    </font>
    <font>
      <sz val="11"/>
      <name val="Calibri"/>
      <family val="2"/>
      <scheme val="minor"/>
    </font>
    <font>
      <b/>
      <sz val="11"/>
      <name val="Calibri"/>
      <family val="2"/>
      <scheme val="minor"/>
    </font>
    <font>
      <sz val="11"/>
      <color rgb="FF000000"/>
      <name val="Calibri"/>
      <family val="2"/>
    </font>
    <font>
      <sz val="10"/>
      <color theme="0"/>
      <name val="Calibri"/>
      <family val="2"/>
      <scheme val="minor"/>
    </font>
    <font>
      <i/>
      <sz val="10"/>
      <name val="Calibri"/>
      <family val="2"/>
      <scheme val="minor"/>
    </font>
    <font>
      <sz val="11"/>
      <color theme="1"/>
      <name val="Calibri"/>
      <family val="2"/>
      <scheme val="minor"/>
    </font>
    <font>
      <b/>
      <sz val="11"/>
      <color theme="4"/>
      <name val="Calibri"/>
      <family val="2"/>
      <scheme val="minor"/>
    </font>
    <font>
      <b/>
      <sz val="14"/>
      <name val="Calibri"/>
      <family val="2"/>
      <scheme val="minor"/>
    </font>
    <font>
      <b/>
      <sz val="11"/>
      <color theme="1"/>
      <name val="Calibri"/>
      <family val="2"/>
      <scheme val="minor"/>
    </font>
    <font>
      <b/>
      <i/>
      <sz val="11"/>
      <color theme="1"/>
      <name val="Calibri"/>
      <family val="2"/>
      <scheme val="minor"/>
    </font>
    <font>
      <sz val="12"/>
      <name val="Calibri"/>
      <family val="2"/>
      <scheme val="minor"/>
    </font>
    <font>
      <sz val="11"/>
      <color theme="0"/>
      <name val="Calibri"/>
      <family val="2"/>
      <scheme val="minor"/>
    </font>
    <font>
      <b/>
      <sz val="12"/>
      <color theme="0"/>
      <name val="Calibri"/>
      <family val="2"/>
      <scheme val="minor"/>
    </font>
    <font>
      <sz val="11"/>
      <color rgb="FF3F3F76"/>
      <name val="Calibri"/>
      <family val="2"/>
      <scheme val="minor"/>
    </font>
    <font>
      <i/>
      <sz val="11"/>
      <name val="Calibri"/>
      <family val="2"/>
      <scheme val="minor"/>
    </font>
    <font>
      <b/>
      <sz val="11"/>
      <color rgb="FF3F3F3F"/>
      <name val="Calibri"/>
      <family val="2"/>
      <scheme val="minor"/>
    </font>
    <font>
      <b/>
      <u/>
      <sz val="11"/>
      <name val="Calibri"/>
      <family val="2"/>
      <scheme val="minor"/>
    </font>
    <font>
      <b/>
      <sz val="11"/>
      <color theme="0"/>
      <name val="Calibri"/>
      <family val="2"/>
      <scheme val="minor"/>
    </font>
    <font>
      <b/>
      <i/>
      <sz val="11"/>
      <name val="Calibri"/>
      <family val="2"/>
      <scheme val="minor"/>
    </font>
    <font>
      <b/>
      <vertAlign val="superscript"/>
      <sz val="11"/>
      <name val="Calibri"/>
      <family val="2"/>
      <scheme val="minor"/>
    </font>
    <font>
      <sz val="10.5"/>
      <name val="Calibri"/>
      <family val="2"/>
      <scheme val="minor"/>
    </font>
    <font>
      <i/>
      <sz val="11"/>
      <color rgb="FF3F3F3F"/>
      <name val="Calibri"/>
      <family val="2"/>
      <scheme val="minor"/>
    </font>
    <font>
      <b/>
      <i/>
      <sz val="11"/>
      <color rgb="FF3F3F3F"/>
      <name val="Calibri"/>
      <family val="2"/>
      <scheme val="minor"/>
    </font>
    <font>
      <b/>
      <sz val="12"/>
      <name val="Calibri"/>
      <family val="2"/>
      <scheme val="minor"/>
    </font>
    <font>
      <b/>
      <u/>
      <sz val="11"/>
      <color theme="1"/>
      <name val="Calibri"/>
      <family val="2"/>
      <scheme val="minor"/>
    </font>
    <font>
      <b/>
      <sz val="11"/>
      <color theme="3" tint="-0.249977111117893"/>
      <name val="Calibri"/>
      <family val="2"/>
      <scheme val="minor"/>
    </font>
    <font>
      <sz val="10.5"/>
      <color theme="0"/>
      <name val="Calibri"/>
      <family val="2"/>
      <scheme val="minor"/>
    </font>
    <font>
      <b/>
      <sz val="10.5"/>
      <name val="Calibri"/>
      <family val="2"/>
      <scheme val="minor"/>
    </font>
    <font>
      <sz val="12"/>
      <color theme="1"/>
      <name val="Calibri"/>
      <family val="2"/>
      <scheme val="minor"/>
    </font>
    <font>
      <u/>
      <sz val="12"/>
      <color theme="10"/>
      <name val="Calibri"/>
      <family val="2"/>
      <scheme val="minor"/>
    </font>
    <font>
      <sz val="8"/>
      <name val="Arial"/>
      <family val="2"/>
    </font>
    <font>
      <sz val="9"/>
      <color rgb="FF333333"/>
      <name val="Arial"/>
      <family val="2"/>
    </font>
    <font>
      <sz val="11"/>
      <color rgb="FF333333"/>
      <name val="Source Sans Pro"/>
      <family val="2"/>
    </font>
    <font>
      <sz val="9"/>
      <name val="Arial"/>
      <family val="2"/>
    </font>
    <font>
      <sz val="10"/>
      <color rgb="FFFF0000"/>
      <name val="Calibri"/>
      <family val="2"/>
      <scheme val="minor"/>
    </font>
    <font>
      <sz val="10"/>
      <color rgb="FF00B050"/>
      <name val="Calibri"/>
      <family val="2"/>
      <scheme val="minor"/>
    </font>
    <font>
      <sz val="9"/>
      <color theme="1"/>
      <name val="Calibri"/>
      <family val="2"/>
      <scheme val="minor"/>
    </font>
    <font>
      <i/>
      <sz val="9"/>
      <color theme="1"/>
      <name val="Calibri"/>
      <family val="2"/>
      <scheme val="minor"/>
    </font>
    <font>
      <sz val="9"/>
      <name val="Calibri"/>
      <family val="2"/>
      <scheme val="minor"/>
    </font>
    <font>
      <b/>
      <sz val="9"/>
      <name val="Calibri"/>
      <family val="2"/>
      <scheme val="minor"/>
    </font>
    <font>
      <sz val="9"/>
      <color rgb="FF000000"/>
      <name val="Calibri"/>
      <family val="2"/>
      <scheme val="minor"/>
    </font>
    <font>
      <b/>
      <sz val="9"/>
      <color rgb="FF000000"/>
      <name val="Calibri"/>
      <family val="2"/>
      <scheme val="minor"/>
    </font>
    <font>
      <b/>
      <sz val="9"/>
      <color theme="1"/>
      <name val="Calibri"/>
      <family val="2"/>
      <scheme val="minor"/>
    </font>
    <font>
      <b/>
      <u/>
      <sz val="9"/>
      <color theme="1"/>
      <name val="Calibri"/>
      <family val="2"/>
      <scheme val="minor"/>
    </font>
  </fonts>
  <fills count="22">
    <fill>
      <patternFill patternType="none"/>
    </fill>
    <fill>
      <patternFill patternType="gray125"/>
    </fill>
    <fill>
      <patternFill patternType="solid">
        <fgColor theme="3"/>
        <bgColor indexed="64"/>
      </patternFill>
    </fill>
    <fill>
      <patternFill patternType="solid">
        <fgColor indexed="65"/>
        <bgColor theme="0"/>
      </patternFill>
    </fill>
    <fill>
      <patternFill patternType="solid">
        <fgColor rgb="FFFFCC99"/>
      </patternFill>
    </fill>
    <fill>
      <patternFill patternType="solid">
        <fgColor rgb="FFF2F2F2"/>
      </patternFill>
    </fill>
    <fill>
      <patternFill patternType="solid">
        <fgColor theme="4" tint="0.79998168889431442"/>
        <bgColor indexed="65"/>
      </patternFill>
    </fill>
    <fill>
      <patternFill patternType="solid">
        <fgColor theme="4" tint="0.39997558519241921"/>
        <bgColor indexed="65"/>
      </patternFill>
    </fill>
    <fill>
      <patternFill patternType="solid">
        <fgColor theme="6" tint="0.79998168889431442"/>
        <bgColor indexed="65"/>
      </patternFill>
    </fill>
    <fill>
      <patternFill patternType="solid">
        <fgColor theme="7"/>
      </patternFill>
    </fill>
    <fill>
      <patternFill patternType="solid">
        <fgColor theme="4"/>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bgColor theme="0"/>
      </patternFill>
    </fill>
    <fill>
      <patternFill patternType="solid">
        <fgColor theme="3"/>
        <bgColor theme="0"/>
      </patternFill>
    </fill>
    <fill>
      <patternFill patternType="solid">
        <fgColor theme="4" tint="-0.249977111117893"/>
        <bgColor theme="0"/>
      </patternFill>
    </fill>
    <fill>
      <patternFill patternType="solid">
        <fgColor theme="4" tint="0.59999389629810485"/>
        <bgColor theme="0"/>
      </patternFill>
    </fill>
    <fill>
      <patternFill patternType="solid">
        <fgColor theme="0"/>
        <bgColor indexed="64"/>
      </patternFill>
    </fill>
    <fill>
      <patternFill patternType="solid">
        <fgColor theme="4"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6" tint="0.79998168889431442"/>
        <bgColor theme="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style="thin">
        <color indexed="64"/>
      </right>
      <top style="thin">
        <color indexed="64"/>
      </top>
      <bottom style="thin">
        <color indexed="64"/>
      </bottom>
      <diagonal/>
    </border>
    <border>
      <left/>
      <right/>
      <top/>
      <bottom style="thin">
        <color theme="3" tint="0.59999389629810485"/>
      </bottom>
      <diagonal/>
    </border>
    <border>
      <left/>
      <right/>
      <top style="thin">
        <color theme="3" tint="0.59999389629810485"/>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right style="thin">
        <color theme="3" tint="0.59999389629810485"/>
      </right>
      <top/>
      <bottom/>
      <diagonal/>
    </border>
    <border>
      <left style="thin">
        <color auto="1"/>
      </left>
      <right/>
      <top/>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auto="1"/>
      </right>
      <top style="thin">
        <color theme="3"/>
      </top>
      <bottom style="thin">
        <color theme="3"/>
      </bottom>
      <diagonal/>
    </border>
    <border>
      <left style="thin">
        <color theme="3"/>
      </left>
      <right/>
      <top/>
      <bottom style="thin">
        <color theme="3" tint="0.59999389629810485"/>
      </bottom>
      <diagonal/>
    </border>
    <border>
      <left style="thin">
        <color theme="3"/>
      </left>
      <right/>
      <top style="thin">
        <color theme="3" tint="0.59999389629810485"/>
      </top>
      <bottom style="thin">
        <color theme="3" tint="0.59999389629810485"/>
      </bottom>
      <diagonal/>
    </border>
    <border>
      <left style="thin">
        <color theme="3"/>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1">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alignment vertical="center"/>
    </xf>
    <xf numFmtId="0" fontId="4" fillId="0" borderId="0"/>
    <xf numFmtId="0" fontId="7" fillId="0" borderId="0" applyBorder="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10" fillId="0" borderId="0"/>
    <xf numFmtId="44" fontId="10" fillId="0" borderId="0" applyFont="0" applyFill="0" applyBorder="0" applyAlignment="0" applyProtection="0"/>
    <xf numFmtId="0" fontId="13" fillId="8" borderId="0" applyNumberFormat="0" applyBorder="0" applyAlignment="0" applyProtection="0"/>
    <xf numFmtId="0" fontId="16" fillId="7" borderId="0" applyNumberFormat="0" applyBorder="0" applyAlignment="0" applyProtection="0"/>
    <xf numFmtId="0" fontId="18" fillId="4" borderId="2" applyNumberFormat="0" applyAlignment="0" applyProtection="0"/>
    <xf numFmtId="0" fontId="20" fillId="5" borderId="3" applyNumberFormat="0" applyAlignment="0" applyProtection="0"/>
    <xf numFmtId="9" fontId="10" fillId="0" borderId="0" applyFont="0" applyFill="0" applyBorder="0" applyAlignment="0" applyProtection="0"/>
    <xf numFmtId="0" fontId="16" fillId="9" borderId="0" applyNumberFormat="0" applyBorder="0" applyAlignment="0" applyProtection="0"/>
    <xf numFmtId="0" fontId="10" fillId="6" borderId="0" applyNumberFormat="0" applyBorder="0" applyAlignment="0" applyProtection="0"/>
    <xf numFmtId="0" fontId="10" fillId="0" borderId="0"/>
    <xf numFmtId="0" fontId="2" fillId="0" borderId="0">
      <alignment vertical="center"/>
    </xf>
    <xf numFmtId="0" fontId="2" fillId="0" borderId="0">
      <alignment vertical="center"/>
    </xf>
    <xf numFmtId="0" fontId="33" fillId="0" borderId="0"/>
    <xf numFmtId="43" fontId="33" fillId="0" borderId="0" applyFont="0" applyFill="0" applyBorder="0" applyAlignment="0" applyProtection="0"/>
    <xf numFmtId="9" fontId="33" fillId="0" borderId="0" applyFont="0" applyFill="0" applyBorder="0" applyAlignment="0" applyProtection="0"/>
    <xf numFmtId="0" fontId="34" fillId="0" borderId="0" applyNumberFormat="0" applyFill="0" applyBorder="0" applyAlignment="0" applyProtection="0"/>
    <xf numFmtId="0" fontId="1" fillId="0" borderId="0"/>
    <xf numFmtId="0" fontId="33" fillId="0" borderId="0"/>
    <xf numFmtId="43" fontId="33" fillId="0" borderId="0" applyFont="0" applyFill="0" applyBorder="0" applyAlignment="0" applyProtection="0"/>
  </cellStyleXfs>
  <cellXfs count="240">
    <xf numFmtId="0" fontId="0" fillId="0" borderId="0" xfId="0"/>
    <xf numFmtId="0" fontId="3" fillId="0" borderId="0" xfId="0" applyFont="1" applyAlignment="1">
      <alignment wrapText="1"/>
    </xf>
    <xf numFmtId="0" fontId="3" fillId="0" borderId="0" xfId="0" applyFont="1"/>
    <xf numFmtId="0" fontId="3" fillId="0" borderId="0" xfId="0" applyFont="1" applyAlignment="1">
      <alignment horizontal="center"/>
    </xf>
    <xf numFmtId="42" fontId="3" fillId="0" borderId="0" xfId="0" applyNumberFormat="1" applyFont="1"/>
    <xf numFmtId="38" fontId="3" fillId="0" borderId="0" xfId="0" applyNumberFormat="1" applyFont="1"/>
    <xf numFmtId="0" fontId="8" fillId="2" borderId="0" xfId="0" applyFont="1" applyFill="1" applyAlignment="1">
      <alignment vertical="center" wrapText="1"/>
    </xf>
    <xf numFmtId="0" fontId="8" fillId="2" borderId="0" xfId="0" applyFont="1" applyFill="1" applyAlignment="1">
      <alignment horizontal="center" vertical="center" wrapText="1"/>
    </xf>
    <xf numFmtId="0" fontId="3" fillId="0" borderId="0" xfId="0" applyFont="1" applyAlignment="1">
      <alignment horizontal="left"/>
    </xf>
    <xf numFmtId="0" fontId="5" fillId="0" borderId="0" xfId="12" applyFont="1" applyAlignment="1">
      <alignment vertical="center"/>
    </xf>
    <xf numFmtId="0" fontId="11" fillId="0" borderId="0" xfId="12" applyFont="1" applyAlignment="1">
      <alignment vertical="center"/>
    </xf>
    <xf numFmtId="0" fontId="5" fillId="0" borderId="0" xfId="12" applyFont="1" applyAlignment="1">
      <alignment horizontal="right" vertical="center"/>
    </xf>
    <xf numFmtId="164" fontId="5" fillId="0" borderId="0" xfId="13" applyNumberFormat="1" applyFont="1" applyBorder="1" applyAlignment="1">
      <alignment vertical="center"/>
    </xf>
    <xf numFmtId="164" fontId="12" fillId="0" borderId="0" xfId="13" applyNumberFormat="1" applyFont="1" applyAlignment="1">
      <alignment vertical="center"/>
    </xf>
    <xf numFmtId="0" fontId="14" fillId="0" borderId="0" xfId="14" applyFont="1" applyFill="1" applyAlignment="1">
      <alignment vertical="center"/>
    </xf>
    <xf numFmtId="0" fontId="14" fillId="0" borderId="0" xfId="14" applyFont="1" applyFill="1" applyBorder="1" applyAlignment="1">
      <alignment vertical="center"/>
    </xf>
    <xf numFmtId="164" fontId="14" fillId="0" borderId="0" xfId="14" applyNumberFormat="1" applyFont="1" applyFill="1" applyBorder="1" applyAlignment="1">
      <alignment vertical="center"/>
    </xf>
    <xf numFmtId="10" fontId="5" fillId="0" borderId="0" xfId="12" applyNumberFormat="1" applyFont="1" applyAlignment="1">
      <alignment vertical="center"/>
    </xf>
    <xf numFmtId="164" fontId="15" fillId="0" borderId="0" xfId="13" applyNumberFormat="1" applyFont="1" applyAlignment="1">
      <alignment vertical="center"/>
    </xf>
    <xf numFmtId="164" fontId="14" fillId="0" borderId="0" xfId="14" applyNumberFormat="1" applyFont="1" applyFill="1" applyAlignment="1">
      <alignment vertical="center"/>
    </xf>
    <xf numFmtId="164" fontId="5" fillId="0" borderId="0" xfId="13" applyNumberFormat="1" applyFont="1" applyAlignment="1">
      <alignment vertical="center"/>
    </xf>
    <xf numFmtId="0" fontId="17" fillId="7" borderId="0" xfId="15" applyFont="1" applyBorder="1" applyAlignment="1">
      <alignment horizontal="center" vertical="center"/>
    </xf>
    <xf numFmtId="0" fontId="17" fillId="10" borderId="0" xfId="12" applyFont="1" applyFill="1" applyAlignment="1">
      <alignment vertical="center"/>
    </xf>
    <xf numFmtId="0" fontId="16" fillId="10" borderId="0" xfId="12" applyFont="1" applyFill="1" applyAlignment="1">
      <alignment vertical="center"/>
    </xf>
    <xf numFmtId="0" fontId="18" fillId="11" borderId="1" xfId="16" quotePrefix="1" applyFill="1" applyBorder="1" applyAlignment="1">
      <alignment horizontal="right" vertical="center"/>
    </xf>
    <xf numFmtId="164" fontId="18" fillId="4" borderId="2" xfId="16" applyNumberFormat="1" applyAlignment="1">
      <alignment vertical="center"/>
    </xf>
    <xf numFmtId="0" fontId="10" fillId="0" borderId="0" xfId="12" quotePrefix="1"/>
    <xf numFmtId="0" fontId="5" fillId="0" borderId="0" xfId="12" applyFont="1" applyAlignment="1">
      <alignment horizontal="left" vertical="center"/>
    </xf>
    <xf numFmtId="164" fontId="18" fillId="4" borderId="2" xfId="16" applyNumberFormat="1" applyAlignment="1">
      <alignment horizontal="right" vertical="center"/>
    </xf>
    <xf numFmtId="0" fontId="19" fillId="0" borderId="0" xfId="12" applyFont="1" applyAlignment="1">
      <alignment vertical="center"/>
    </xf>
    <xf numFmtId="0" fontId="5" fillId="0" borderId="0" xfId="12" applyFont="1" applyAlignment="1">
      <alignment horizontal="left" vertical="center" indent="2"/>
    </xf>
    <xf numFmtId="10" fontId="18" fillId="4" borderId="2" xfId="16" applyNumberFormat="1" applyAlignment="1">
      <alignment vertical="center"/>
    </xf>
    <xf numFmtId="0" fontId="21" fillId="0" borderId="0" xfId="12" applyFont="1" applyAlignment="1">
      <alignment vertical="center"/>
    </xf>
    <xf numFmtId="0" fontId="5" fillId="0" borderId="0" xfId="12" applyFont="1" applyAlignment="1">
      <alignment horizontal="center" vertical="center"/>
    </xf>
    <xf numFmtId="0" fontId="9" fillId="0" borderId="0" xfId="12" applyFont="1" applyAlignment="1">
      <alignment vertical="center"/>
    </xf>
    <xf numFmtId="164" fontId="6" fillId="0" borderId="1" xfId="13" applyNumberFormat="1" applyFont="1" applyBorder="1" applyAlignment="1">
      <alignment vertical="center"/>
    </xf>
    <xf numFmtId="0" fontId="10" fillId="0" borderId="0" xfId="12"/>
    <xf numFmtId="0" fontId="6" fillId="0" borderId="0" xfId="12" applyFont="1" applyAlignment="1">
      <alignment horizontal="left" vertical="center"/>
    </xf>
    <xf numFmtId="44" fontId="5" fillId="0" borderId="0" xfId="13" applyFont="1" applyAlignment="1">
      <alignment vertical="center"/>
    </xf>
    <xf numFmtId="44" fontId="5" fillId="0" borderId="0" xfId="12" applyNumberFormat="1" applyFont="1" applyAlignment="1">
      <alignment vertical="center"/>
    </xf>
    <xf numFmtId="164" fontId="6" fillId="0" borderId="0" xfId="13" applyNumberFormat="1" applyFont="1" applyBorder="1" applyAlignment="1">
      <alignment horizontal="centerContinuous" vertical="center"/>
    </xf>
    <xf numFmtId="0" fontId="6" fillId="0" borderId="0" xfId="12" applyFont="1" applyAlignment="1">
      <alignment horizontal="centerContinuous" vertical="center"/>
    </xf>
    <xf numFmtId="0" fontId="22" fillId="10" borderId="0" xfId="12" applyFont="1" applyFill="1" applyAlignment="1">
      <alignment horizontal="centerContinuous" vertical="center"/>
    </xf>
    <xf numFmtId="0" fontId="23" fillId="0" borderId="0" xfId="12" applyFont="1" applyAlignment="1">
      <alignment vertical="center"/>
    </xf>
    <xf numFmtId="0" fontId="5" fillId="0" borderId="0" xfId="12" applyFont="1" applyAlignment="1">
      <alignment horizontal="left" vertical="center" indent="1"/>
    </xf>
    <xf numFmtId="10" fontId="5" fillId="0" borderId="1" xfId="18" applyNumberFormat="1" applyFont="1" applyBorder="1" applyAlignment="1">
      <alignment vertical="center"/>
    </xf>
    <xf numFmtId="164" fontId="5" fillId="0" borderId="1" xfId="13" applyNumberFormat="1" applyFont="1" applyBorder="1" applyAlignment="1">
      <alignment vertical="center"/>
    </xf>
    <xf numFmtId="10" fontId="5" fillId="12" borderId="1" xfId="18" applyNumberFormat="1" applyFont="1" applyFill="1" applyBorder="1" applyAlignment="1">
      <alignment vertical="center"/>
    </xf>
    <xf numFmtId="164" fontId="5" fillId="12" borderId="1" xfId="13" applyNumberFormat="1" applyFont="1" applyFill="1" applyBorder="1" applyAlignment="1">
      <alignment vertical="center"/>
    </xf>
    <xf numFmtId="0" fontId="24" fillId="0" borderId="0" xfId="12" applyFont="1" applyAlignment="1">
      <alignment horizontal="right" vertical="center"/>
    </xf>
    <xf numFmtId="0" fontId="24" fillId="0" borderId="0" xfId="12" applyFont="1" applyAlignment="1">
      <alignment horizontal="left" vertical="center"/>
    </xf>
    <xf numFmtId="9" fontId="5" fillId="0" borderId="0" xfId="18" applyFont="1" applyBorder="1" applyAlignment="1">
      <alignment vertical="center"/>
    </xf>
    <xf numFmtId="0" fontId="21" fillId="0" borderId="0" xfId="12" applyFont="1" applyAlignment="1">
      <alignment horizontal="left" vertical="center"/>
    </xf>
    <xf numFmtId="0" fontId="22" fillId="10" borderId="0" xfId="12" applyFont="1" applyFill="1" applyAlignment="1">
      <alignment horizontal="center" vertical="center"/>
    </xf>
    <xf numFmtId="164" fontId="5" fillId="12" borderId="1" xfId="13" applyNumberFormat="1" applyFont="1" applyFill="1" applyBorder="1" applyAlignment="1">
      <alignment horizontal="right" vertical="center"/>
    </xf>
    <xf numFmtId="0" fontId="24" fillId="0" borderId="0" xfId="12" applyFont="1" applyAlignment="1">
      <alignment horizontal="center" vertical="center"/>
    </xf>
    <xf numFmtId="0" fontId="10" fillId="0" borderId="0" xfId="12" applyAlignment="1">
      <alignment horizontal="right"/>
    </xf>
    <xf numFmtId="10" fontId="10" fillId="12" borderId="1" xfId="20" applyNumberFormat="1" applyFill="1" applyBorder="1" applyAlignment="1">
      <alignment vertical="center"/>
    </xf>
    <xf numFmtId="10" fontId="10" fillId="6" borderId="1" xfId="20" applyNumberFormat="1" applyBorder="1" applyAlignment="1">
      <alignment vertical="center"/>
    </xf>
    <xf numFmtId="0" fontId="11" fillId="0" borderId="0" xfId="12" applyFont="1" applyAlignment="1">
      <alignment horizontal="center" vertical="center"/>
    </xf>
    <xf numFmtId="164" fontId="28" fillId="0" borderId="0" xfId="13" applyNumberFormat="1" applyFont="1" applyAlignment="1">
      <alignment vertical="center"/>
    </xf>
    <xf numFmtId="0" fontId="17" fillId="10" borderId="0" xfId="12" applyFont="1" applyFill="1" applyAlignment="1">
      <alignment horizontal="left" vertical="center"/>
    </xf>
    <xf numFmtId="0" fontId="29" fillId="13" borderId="0" xfId="21" applyFont="1" applyFill="1"/>
    <xf numFmtId="0" fontId="10" fillId="13" borderId="0" xfId="21" applyFill="1"/>
    <xf numFmtId="41" fontId="10" fillId="13" borderId="0" xfId="21" applyNumberFormat="1" applyFill="1"/>
    <xf numFmtId="0" fontId="16" fillId="14" borderId="0" xfId="0" applyFont="1" applyFill="1"/>
    <xf numFmtId="0" fontId="5" fillId="3" borderId="0" xfId="0" applyFont="1" applyFill="1"/>
    <xf numFmtId="42" fontId="5" fillId="12" borderId="1" xfId="13" applyNumberFormat="1" applyFont="1" applyFill="1" applyBorder="1" applyAlignment="1">
      <alignment vertical="center"/>
    </xf>
    <xf numFmtId="0" fontId="30" fillId="3" borderId="0" xfId="0" applyFont="1" applyFill="1"/>
    <xf numFmtId="0" fontId="3" fillId="3" borderId="0" xfId="0" applyFont="1" applyFill="1"/>
    <xf numFmtId="0" fontId="5" fillId="3" borderId="0" xfId="0" applyFont="1" applyFill="1" applyAlignment="1">
      <alignment horizontal="center"/>
    </xf>
    <xf numFmtId="16" fontId="25" fillId="3" borderId="6" xfId="0" applyNumberFormat="1" applyFont="1" applyFill="1" applyBorder="1" applyAlignment="1">
      <alignment horizontal="center"/>
    </xf>
    <xf numFmtId="0" fontId="25" fillId="3" borderId="6" xfId="0" applyFont="1" applyFill="1" applyBorder="1" applyAlignment="1">
      <alignment horizontal="center"/>
    </xf>
    <xf numFmtId="0" fontId="25" fillId="3" borderId="7" xfId="0" applyFont="1" applyFill="1" applyBorder="1"/>
    <xf numFmtId="16" fontId="25" fillId="3" borderId="5" xfId="0" applyNumberFormat="1" applyFont="1" applyFill="1" applyBorder="1" applyAlignment="1">
      <alignment horizontal="center"/>
    </xf>
    <xf numFmtId="16" fontId="25" fillId="3" borderId="0" xfId="0" applyNumberFormat="1" applyFont="1" applyFill="1" applyAlignment="1">
      <alignment horizontal="center"/>
    </xf>
    <xf numFmtId="0" fontId="25" fillId="3" borderId="0" xfId="0" applyFont="1" applyFill="1" applyAlignment="1">
      <alignment horizontal="center"/>
    </xf>
    <xf numFmtId="0" fontId="25" fillId="3" borderId="8" xfId="0" applyFont="1" applyFill="1" applyBorder="1"/>
    <xf numFmtId="41" fontId="5" fillId="0" borderId="1" xfId="13" applyNumberFormat="1" applyFont="1" applyBorder="1" applyAlignment="1">
      <alignment vertical="center"/>
    </xf>
    <xf numFmtId="0" fontId="26" fillId="0" borderId="0" xfId="17" applyFont="1" applyFill="1" applyBorder="1" applyAlignment="1">
      <alignment vertical="center"/>
    </xf>
    <xf numFmtId="164" fontId="25" fillId="0" borderId="0" xfId="13" applyNumberFormat="1" applyFont="1" applyFill="1" applyAlignment="1">
      <alignment vertical="center"/>
    </xf>
    <xf numFmtId="0" fontId="25" fillId="3" borderId="5" xfId="0" applyFont="1" applyFill="1" applyBorder="1" applyAlignment="1">
      <alignment horizontal="center"/>
    </xf>
    <xf numFmtId="0" fontId="25" fillId="16" borderId="6" xfId="0" applyFont="1" applyFill="1" applyBorder="1" applyAlignment="1">
      <alignment horizontal="center"/>
    </xf>
    <xf numFmtId="0" fontId="25" fillId="16" borderId="0" xfId="0" applyFont="1" applyFill="1" applyAlignment="1">
      <alignment horizontal="center"/>
    </xf>
    <xf numFmtId="0" fontId="3" fillId="3" borderId="0" xfId="0" applyFont="1" applyFill="1" applyAlignment="1">
      <alignment horizontal="center"/>
    </xf>
    <xf numFmtId="0" fontId="25" fillId="3" borderId="5" xfId="0" applyFont="1" applyFill="1" applyBorder="1" applyAlignment="1">
      <alignment horizontal="left"/>
    </xf>
    <xf numFmtId="0" fontId="25" fillId="16" borderId="6" xfId="0" applyFont="1" applyFill="1" applyBorder="1"/>
    <xf numFmtId="0" fontId="5" fillId="3" borderId="9" xfId="0" applyFont="1" applyFill="1" applyBorder="1"/>
    <xf numFmtId="0" fontId="31" fillId="15" borderId="10" xfId="0" applyFont="1" applyFill="1" applyBorder="1" applyAlignment="1">
      <alignment horizontal="center"/>
    </xf>
    <xf numFmtId="0" fontId="31" fillId="15" borderId="11" xfId="0" applyFont="1" applyFill="1" applyBorder="1" applyAlignment="1">
      <alignment horizontal="center"/>
    </xf>
    <xf numFmtId="0" fontId="32" fillId="3" borderId="13" xfId="0" applyFont="1" applyFill="1" applyBorder="1"/>
    <xf numFmtId="0" fontId="32" fillId="3" borderId="14" xfId="0" applyFont="1" applyFill="1" applyBorder="1"/>
    <xf numFmtId="0" fontId="32" fillId="16" borderId="14" xfId="0" applyFont="1" applyFill="1" applyBorder="1"/>
    <xf numFmtId="0" fontId="32" fillId="3" borderId="15" xfId="0" applyFont="1" applyFill="1" applyBorder="1"/>
    <xf numFmtId="0" fontId="32" fillId="16" borderId="15" xfId="0" applyFont="1" applyFill="1" applyBorder="1"/>
    <xf numFmtId="0" fontId="25" fillId="16" borderId="14" xfId="0" applyFont="1" applyFill="1" applyBorder="1"/>
    <xf numFmtId="0" fontId="36" fillId="0" borderId="0" xfId="0" applyFont="1"/>
    <xf numFmtId="0" fontId="3" fillId="0" borderId="0" xfId="0" applyFont="1" applyAlignment="1">
      <alignment horizontal="right"/>
    </xf>
    <xf numFmtId="44" fontId="3" fillId="0" borderId="0" xfId="0" applyNumberFormat="1" applyFont="1"/>
    <xf numFmtId="0" fontId="37" fillId="0" borderId="0" xfId="0" applyFont="1"/>
    <xf numFmtId="0" fontId="36" fillId="17" borderId="1" xfId="0" applyFont="1" applyFill="1" applyBorder="1" applyAlignment="1">
      <alignment vertical="center" wrapText="1"/>
    </xf>
    <xf numFmtId="0" fontId="38" fillId="0" borderId="0" xfId="0" applyFont="1" applyAlignment="1">
      <alignment horizontal="center"/>
    </xf>
    <xf numFmtId="164" fontId="3" fillId="0" borderId="0" xfId="0" applyNumberFormat="1" applyFont="1"/>
    <xf numFmtId="0" fontId="3" fillId="0" borderId="16" xfId="0" applyFont="1" applyBorder="1" applyAlignment="1">
      <alignment horizontal="right"/>
    </xf>
    <xf numFmtId="0" fontId="3" fillId="0" borderId="16" xfId="0" applyFont="1" applyBorder="1"/>
    <xf numFmtId="0" fontId="3" fillId="0" borderId="16" xfId="0" applyFont="1" applyBorder="1" applyAlignment="1">
      <alignment horizontal="center"/>
    </xf>
    <xf numFmtId="164" fontId="3" fillId="0" borderId="16" xfId="0" applyNumberFormat="1" applyFont="1" applyBorder="1"/>
    <xf numFmtId="44" fontId="39" fillId="0" borderId="0" xfId="0" applyNumberFormat="1" applyFont="1"/>
    <xf numFmtId="164" fontId="40" fillId="0" borderId="0" xfId="0" applyNumberFormat="1" applyFont="1"/>
    <xf numFmtId="3" fontId="3" fillId="0" borderId="0" xfId="0" applyNumberFormat="1" applyFont="1" applyAlignment="1">
      <alignment horizontal="center"/>
    </xf>
    <xf numFmtId="164" fontId="3" fillId="0" borderId="0" xfId="0" applyNumberFormat="1" applyFont="1" applyAlignment="1">
      <alignment horizontal="center"/>
    </xf>
    <xf numFmtId="0" fontId="0" fillId="0" borderId="0" xfId="0" applyAlignment="1">
      <alignment horizontal="left"/>
    </xf>
    <xf numFmtId="0" fontId="3" fillId="0" borderId="16" xfId="0" applyFont="1" applyBorder="1" applyAlignment="1">
      <alignment wrapText="1"/>
    </xf>
    <xf numFmtId="164" fontId="40" fillId="0" borderId="0" xfId="0" applyNumberFormat="1" applyFont="1" applyAlignment="1">
      <alignment horizontal="center"/>
    </xf>
    <xf numFmtId="2" fontId="3" fillId="0" borderId="0" xfId="0" applyNumberFormat="1" applyFont="1" applyAlignment="1">
      <alignment horizontal="center"/>
    </xf>
    <xf numFmtId="0" fontId="0" fillId="0" borderId="16" xfId="0" applyBorder="1"/>
    <xf numFmtId="38" fontId="3" fillId="0" borderId="16" xfId="0" applyNumberFormat="1" applyFont="1" applyBorder="1"/>
    <xf numFmtId="42" fontId="3" fillId="0" borderId="16" xfId="0" applyNumberFormat="1" applyFont="1" applyBorder="1"/>
    <xf numFmtId="164" fontId="3" fillId="0" borderId="16" xfId="0" applyNumberFormat="1" applyFont="1" applyBorder="1" applyAlignment="1">
      <alignment horizontal="center"/>
    </xf>
    <xf numFmtId="0" fontId="3" fillId="0" borderId="16" xfId="0" applyFont="1" applyBorder="1" applyAlignment="1">
      <alignment horizontal="left"/>
    </xf>
    <xf numFmtId="164" fontId="40" fillId="0" borderId="16" xfId="0" applyNumberFormat="1" applyFont="1" applyBorder="1"/>
    <xf numFmtId="0" fontId="39" fillId="0" borderId="0" xfId="0" applyFont="1" applyAlignment="1">
      <alignment wrapText="1"/>
    </xf>
    <xf numFmtId="0" fontId="0" fillId="0" borderId="1" xfId="0" applyBorder="1"/>
    <xf numFmtId="164" fontId="0" fillId="0" borderId="1" xfId="0" applyNumberFormat="1" applyBorder="1"/>
    <xf numFmtId="0" fontId="3" fillId="0" borderId="0" xfId="0" applyFont="1" applyAlignment="1">
      <alignment horizontal="left" wrapText="1"/>
    </xf>
    <xf numFmtId="0" fontId="0" fillId="0" borderId="0" xfId="0" applyAlignment="1">
      <alignment horizontal="right"/>
    </xf>
    <xf numFmtId="164" fontId="40" fillId="0" borderId="16" xfId="0" applyNumberFormat="1" applyFont="1" applyBorder="1" applyAlignment="1">
      <alignment horizontal="center"/>
    </xf>
    <xf numFmtId="10" fontId="5" fillId="0" borderId="1" xfId="12" applyNumberFormat="1" applyFont="1" applyBorder="1" applyAlignment="1">
      <alignment vertical="center"/>
    </xf>
    <xf numFmtId="164" fontId="5" fillId="0" borderId="1" xfId="12" applyNumberFormat="1" applyFont="1" applyBorder="1" applyAlignment="1">
      <alignment vertical="center"/>
    </xf>
    <xf numFmtId="10" fontId="5" fillId="12" borderId="17" xfId="18" applyNumberFormat="1" applyFont="1" applyFill="1" applyBorder="1" applyAlignment="1">
      <alignment vertical="center"/>
    </xf>
    <xf numFmtId="164" fontId="5" fillId="12" borderId="17" xfId="13" applyNumberFormat="1" applyFont="1" applyFill="1" applyBorder="1" applyAlignment="1">
      <alignment vertical="center"/>
    </xf>
    <xf numFmtId="0" fontId="1" fillId="0" borderId="0" xfId="28"/>
    <xf numFmtId="164" fontId="41" fillId="0" borderId="0" xfId="29" applyNumberFormat="1" applyFont="1"/>
    <xf numFmtId="0" fontId="41" fillId="0" borderId="0" xfId="29" applyFont="1" applyAlignment="1">
      <alignment wrapText="1"/>
    </xf>
    <xf numFmtId="0" fontId="42" fillId="0" borderId="0" xfId="29" applyFont="1"/>
    <xf numFmtId="164" fontId="43" fillId="0" borderId="0" xfId="30" applyNumberFormat="1" applyFont="1" applyAlignment="1">
      <alignment horizontal="right"/>
    </xf>
    <xf numFmtId="0" fontId="43" fillId="0" borderId="0" xfId="29" applyFont="1" applyAlignment="1">
      <alignment horizontal="left" wrapText="1"/>
    </xf>
    <xf numFmtId="0" fontId="44" fillId="0" borderId="0" xfId="29" applyFont="1" applyAlignment="1">
      <alignment horizontal="left"/>
    </xf>
    <xf numFmtId="164" fontId="43" fillId="0" borderId="16" xfId="30" applyNumberFormat="1" applyFont="1" applyBorder="1" applyAlignment="1">
      <alignment horizontal="right"/>
    </xf>
    <xf numFmtId="0" fontId="41" fillId="0" borderId="16" xfId="29" applyFont="1" applyBorder="1" applyAlignment="1">
      <alignment wrapText="1"/>
    </xf>
    <xf numFmtId="0" fontId="43" fillId="0" borderId="0" xfId="29" applyFont="1" applyAlignment="1">
      <alignment horizontal="center"/>
    </xf>
    <xf numFmtId="0" fontId="45" fillId="0" borderId="0" xfId="29" applyFont="1" applyAlignment="1">
      <alignment horizontal="left" wrapText="1"/>
    </xf>
    <xf numFmtId="0" fontId="45" fillId="17" borderId="0" xfId="29" applyFont="1" applyFill="1" applyAlignment="1">
      <alignment horizontal="left" wrapText="1"/>
    </xf>
    <xf numFmtId="164" fontId="43" fillId="0" borderId="0" xfId="30" applyNumberFormat="1" applyFont="1"/>
    <xf numFmtId="0" fontId="44" fillId="0" borderId="0" xfId="29" applyFont="1"/>
    <xf numFmtId="164" fontId="43" fillId="0" borderId="0" xfId="29" applyNumberFormat="1" applyFont="1" applyAlignment="1">
      <alignment horizontal="right"/>
    </xf>
    <xf numFmtId="0" fontId="45" fillId="0" borderId="0" xfId="29" applyFont="1" applyAlignment="1">
      <alignment wrapText="1"/>
    </xf>
    <xf numFmtId="164" fontId="43" fillId="18" borderId="1" xfId="30" applyNumberFormat="1" applyFont="1" applyFill="1" applyBorder="1" applyAlignment="1">
      <alignment horizontal="right"/>
    </xf>
    <xf numFmtId="0" fontId="44" fillId="18" borderId="1" xfId="29" applyFont="1" applyFill="1" applyBorder="1" applyAlignment="1">
      <alignment wrapText="1"/>
    </xf>
    <xf numFmtId="43" fontId="44" fillId="0" borderId="0" xfId="30" applyFont="1" applyAlignment="1">
      <alignment horizontal="right" wrapText="1"/>
    </xf>
    <xf numFmtId="164" fontId="45" fillId="12" borderId="1" xfId="30" applyNumberFormat="1" applyFont="1" applyFill="1" applyBorder="1" applyAlignment="1">
      <alignment horizontal="left"/>
    </xf>
    <xf numFmtId="3" fontId="44" fillId="12" borderId="0" xfId="29" applyNumberFormat="1" applyFont="1" applyFill="1" applyAlignment="1">
      <alignment horizontal="right" wrapText="1"/>
    </xf>
    <xf numFmtId="164" fontId="43" fillId="0" borderId="1" xfId="30" applyNumberFormat="1" applyFont="1" applyFill="1" applyBorder="1" applyAlignment="1">
      <alignment horizontal="right"/>
    </xf>
    <xf numFmtId="164" fontId="45" fillId="12" borderId="4" xfId="30" applyNumberFormat="1" applyFont="1" applyFill="1" applyBorder="1" applyAlignment="1">
      <alignment horizontal="left"/>
    </xf>
    <xf numFmtId="164" fontId="43" fillId="19" borderId="1" xfId="30" applyNumberFormat="1" applyFont="1" applyFill="1" applyBorder="1" applyAlignment="1">
      <alignment horizontal="right"/>
    </xf>
    <xf numFmtId="164" fontId="41" fillId="0" borderId="0" xfId="28" applyNumberFormat="1" applyFont="1"/>
    <xf numFmtId="164" fontId="43" fillId="20" borderId="1" xfId="30" applyNumberFormat="1" applyFont="1" applyFill="1" applyBorder="1" applyAlignment="1">
      <alignment horizontal="right"/>
    </xf>
    <xf numFmtId="164" fontId="43" fillId="0" borderId="18" xfId="30" applyNumberFormat="1" applyFont="1" applyFill="1" applyBorder="1" applyAlignment="1">
      <alignment horizontal="right"/>
    </xf>
    <xf numFmtId="164" fontId="43" fillId="20" borderId="18" xfId="30" applyNumberFormat="1" applyFont="1" applyFill="1" applyBorder="1" applyAlignment="1">
      <alignment horizontal="right"/>
    </xf>
    <xf numFmtId="164" fontId="41" fillId="0" borderId="1" xfId="28" applyNumberFormat="1" applyFont="1" applyBorder="1"/>
    <xf numFmtId="0" fontId="41" fillId="0" borderId="0" xfId="28" applyFont="1"/>
    <xf numFmtId="0" fontId="41" fillId="0" borderId="0" xfId="28" applyFont="1" applyAlignment="1">
      <alignment horizontal="center" wrapText="1"/>
    </xf>
    <xf numFmtId="164" fontId="41" fillId="19" borderId="1" xfId="28" applyNumberFormat="1" applyFont="1" applyFill="1" applyBorder="1"/>
    <xf numFmtId="164" fontId="41" fillId="0" borderId="1" xfId="28" applyNumberFormat="1" applyFont="1" applyBorder="1" applyAlignment="1">
      <alignment horizontal="center" wrapText="1"/>
    </xf>
    <xf numFmtId="164" fontId="41" fillId="19" borderId="1" xfId="28" applyNumberFormat="1" applyFont="1" applyFill="1" applyBorder="1" applyAlignment="1">
      <alignment horizontal="center" wrapText="1"/>
    </xf>
    <xf numFmtId="0" fontId="44" fillId="0" borderId="0" xfId="29" applyFont="1" applyAlignment="1">
      <alignment horizontal="left" vertical="center"/>
    </xf>
    <xf numFmtId="43" fontId="44" fillId="12" borderId="0" xfId="30" applyFont="1" applyFill="1" applyAlignment="1">
      <alignment horizontal="right" wrapText="1"/>
    </xf>
    <xf numFmtId="0" fontId="46" fillId="0" borderId="0" xfId="29" applyFont="1" applyAlignment="1">
      <alignment horizontal="right" wrapText="1"/>
    </xf>
    <xf numFmtId="164" fontId="1" fillId="0" borderId="1" xfId="28" applyNumberFormat="1" applyBorder="1"/>
    <xf numFmtId="0" fontId="41" fillId="0" borderId="0" xfId="28" applyFont="1" applyAlignment="1">
      <alignment horizontal="center" vertical="center"/>
    </xf>
    <xf numFmtId="164" fontId="45" fillId="12" borderId="1" xfId="30" applyNumberFormat="1" applyFont="1" applyFill="1" applyBorder="1"/>
    <xf numFmtId="164" fontId="43" fillId="17" borderId="1" xfId="30" applyNumberFormat="1" applyFont="1" applyFill="1" applyBorder="1" applyAlignment="1">
      <alignment horizontal="right"/>
    </xf>
    <xf numFmtId="0" fontId="45" fillId="0" borderId="0" xfId="29" applyFont="1" applyAlignment="1">
      <alignment horizontal="center" vertical="center" wrapText="1"/>
    </xf>
    <xf numFmtId="0" fontId="41" fillId="0" borderId="0" xfId="29" applyFont="1" applyAlignment="1">
      <alignment horizontal="center" vertical="center" wrapText="1"/>
    </xf>
    <xf numFmtId="164" fontId="41" fillId="20" borderId="1" xfId="28" applyNumberFormat="1" applyFont="1" applyFill="1" applyBorder="1"/>
    <xf numFmtId="0" fontId="1" fillId="0" borderId="0" xfId="28" applyAlignment="1">
      <alignment horizontal="left"/>
    </xf>
    <xf numFmtId="0" fontId="43" fillId="0" borderId="0" xfId="29" applyFont="1" applyAlignment="1">
      <alignment horizontal="left"/>
    </xf>
    <xf numFmtId="0" fontId="45" fillId="0" borderId="0" xfId="29" applyFont="1" applyAlignment="1">
      <alignment horizontal="center" wrapText="1"/>
    </xf>
    <xf numFmtId="164" fontId="43" fillId="0" borderId="1" xfId="30" applyNumberFormat="1" applyFont="1" applyFill="1" applyBorder="1" applyAlignment="1">
      <alignment horizontal="center"/>
    </xf>
    <xf numFmtId="164" fontId="43" fillId="19" borderId="1" xfId="30" applyNumberFormat="1" applyFont="1" applyFill="1" applyBorder="1" applyAlignment="1">
      <alignment horizontal="center"/>
    </xf>
    <xf numFmtId="0" fontId="43" fillId="0" borderId="0" xfId="29" applyFont="1" applyAlignment="1">
      <alignment horizontal="center" wrapText="1"/>
    </xf>
    <xf numFmtId="3" fontId="43" fillId="17" borderId="0" xfId="30" applyNumberFormat="1" applyFont="1" applyFill="1" applyAlignment="1">
      <alignment horizontal="center"/>
    </xf>
    <xf numFmtId="3" fontId="43" fillId="0" borderId="0" xfId="30" applyNumberFormat="1" applyFont="1" applyFill="1" applyAlignment="1">
      <alignment horizontal="center"/>
    </xf>
    <xf numFmtId="0" fontId="44" fillId="0" borderId="0" xfId="29" applyFont="1" applyAlignment="1">
      <alignment horizontal="center" vertical="center" wrapText="1"/>
    </xf>
    <xf numFmtId="3" fontId="43" fillId="17" borderId="1" xfId="30" applyNumberFormat="1" applyFont="1" applyFill="1" applyBorder="1" applyAlignment="1">
      <alignment horizontal="center"/>
    </xf>
    <xf numFmtId="3" fontId="43" fillId="0" borderId="1" xfId="30" applyNumberFormat="1" applyFont="1" applyFill="1" applyBorder="1" applyAlignment="1">
      <alignment horizontal="center"/>
    </xf>
    <xf numFmtId="0" fontId="41" fillId="0" borderId="1" xfId="28" applyFont="1" applyBorder="1" applyAlignment="1">
      <alignment horizontal="center"/>
    </xf>
    <xf numFmtId="0" fontId="41" fillId="0" borderId="0" xfId="29" applyFont="1"/>
    <xf numFmtId="3" fontId="41" fillId="0" borderId="0" xfId="30" applyNumberFormat="1" applyFont="1" applyFill="1"/>
    <xf numFmtId="3" fontId="41" fillId="0" borderId="0" xfId="30" applyNumberFormat="1" applyFont="1"/>
    <xf numFmtId="0" fontId="48" fillId="0" borderId="0" xfId="29" applyFont="1"/>
    <xf numFmtId="0" fontId="10" fillId="13" borderId="1" xfId="21" applyFill="1" applyBorder="1"/>
    <xf numFmtId="41" fontId="10" fillId="13" borderId="1" xfId="21" applyNumberFormat="1" applyFill="1" applyBorder="1"/>
    <xf numFmtId="0" fontId="5" fillId="3" borderId="1" xfId="0" applyFont="1" applyFill="1" applyBorder="1"/>
    <xf numFmtId="0" fontId="0" fillId="0" borderId="0" xfId="0" applyAlignment="1">
      <alignment wrapText="1"/>
    </xf>
    <xf numFmtId="0" fontId="5" fillId="3" borderId="1" xfId="0" applyFont="1" applyFill="1" applyBorder="1" applyAlignment="1">
      <alignment horizontal="center" vertical="center"/>
    </xf>
    <xf numFmtId="0" fontId="0" fillId="0" borderId="1" xfId="0" applyBorder="1" applyAlignment="1">
      <alignment wrapText="1"/>
    </xf>
    <xf numFmtId="0" fontId="5" fillId="3" borderId="17" xfId="0" applyFont="1" applyFill="1" applyBorder="1" applyAlignment="1">
      <alignment horizontal="center" vertical="center"/>
    </xf>
    <xf numFmtId="0" fontId="0" fillId="0" borderId="17" xfId="0" applyBorder="1" applyAlignment="1">
      <alignment wrapText="1"/>
    </xf>
    <xf numFmtId="14" fontId="25" fillId="3" borderId="0" xfId="0" applyNumberFormat="1" applyFont="1" applyFill="1" applyAlignment="1">
      <alignment horizontal="center"/>
    </xf>
    <xf numFmtId="14" fontId="5" fillId="3" borderId="0" xfId="0" applyNumberFormat="1" applyFont="1" applyFill="1" applyAlignment="1">
      <alignment horizontal="center"/>
    </xf>
    <xf numFmtId="164" fontId="41" fillId="20" borderId="1" xfId="28" applyNumberFormat="1" applyFont="1" applyFill="1" applyBorder="1" applyAlignment="1">
      <alignment horizontal="center" wrapText="1"/>
    </xf>
    <xf numFmtId="0" fontId="5" fillId="13" borderId="0" xfId="0" applyFont="1" applyFill="1"/>
    <xf numFmtId="0" fontId="5" fillId="13" borderId="0" xfId="0" applyFont="1" applyFill="1" applyAlignment="1">
      <alignment horizontal="right"/>
    </xf>
    <xf numFmtId="41" fontId="5" fillId="13" borderId="0" xfId="0" applyNumberFormat="1" applyFont="1" applyFill="1"/>
    <xf numFmtId="0" fontId="22" fillId="13" borderId="0" xfId="0" applyFont="1" applyFill="1" applyAlignment="1">
      <alignment horizontal="left" vertical="center" wrapText="1"/>
    </xf>
    <xf numFmtId="0" fontId="16" fillId="13" borderId="0" xfId="0" applyFont="1" applyFill="1"/>
    <xf numFmtId="41" fontId="16" fillId="13" borderId="0" xfId="4" applyNumberFormat="1" applyFont="1" applyFill="1" applyBorder="1" applyAlignment="1">
      <alignment horizontal="center"/>
    </xf>
    <xf numFmtId="0" fontId="16" fillId="13" borderId="0" xfId="21" applyFont="1" applyFill="1"/>
    <xf numFmtId="0" fontId="22" fillId="13" borderId="0" xfId="21" applyFont="1" applyFill="1"/>
    <xf numFmtId="0" fontId="5" fillId="13" borderId="0" xfId="0" applyFont="1" applyFill="1" applyAlignment="1">
      <alignment horizontal="center"/>
    </xf>
    <xf numFmtId="0" fontId="10" fillId="13" borderId="0" xfId="21" applyFill="1" applyAlignment="1">
      <alignment horizontal="center"/>
    </xf>
    <xf numFmtId="0" fontId="5" fillId="13" borderId="1" xfId="0" applyFont="1" applyFill="1" applyBorder="1"/>
    <xf numFmtId="0" fontId="32" fillId="3" borderId="5" xfId="0" applyFont="1" applyFill="1" applyBorder="1" applyAlignment="1">
      <alignment horizontal="left"/>
    </xf>
    <xf numFmtId="0" fontId="6" fillId="3" borderId="0" xfId="0" applyFont="1" applyFill="1"/>
    <xf numFmtId="0" fontId="5" fillId="3" borderId="1" xfId="0" applyFont="1" applyFill="1" applyBorder="1" applyAlignment="1">
      <alignment horizontal="center"/>
    </xf>
    <xf numFmtId="44" fontId="5" fillId="3" borderId="1" xfId="2" applyFont="1" applyFill="1" applyBorder="1"/>
    <xf numFmtId="44" fontId="5" fillId="3" borderId="17" xfId="2" applyFont="1" applyFill="1" applyBorder="1"/>
    <xf numFmtId="0" fontId="5" fillId="3" borderId="17" xfId="0" applyFont="1" applyFill="1" applyBorder="1" applyAlignment="1">
      <alignment horizontal="center"/>
    </xf>
    <xf numFmtId="0" fontId="5" fillId="3" borderId="1" xfId="0" applyFont="1" applyFill="1" applyBorder="1" applyAlignment="1">
      <alignment horizontal="center" wrapText="1"/>
    </xf>
    <xf numFmtId="0" fontId="5" fillId="3" borderId="17" xfId="0" applyFont="1" applyFill="1" applyBorder="1" applyAlignment="1">
      <alignment horizontal="center" wrapText="1"/>
    </xf>
    <xf numFmtId="44" fontId="5" fillId="3" borderId="17" xfId="2" applyFont="1" applyFill="1" applyBorder="1" applyAlignment="1">
      <alignment horizontal="center"/>
    </xf>
    <xf numFmtId="0" fontId="5" fillId="21" borderId="1" xfId="0" applyFont="1" applyFill="1" applyBorder="1"/>
    <xf numFmtId="6" fontId="10" fillId="21" borderId="1" xfId="21" applyNumberFormat="1" applyFill="1" applyBorder="1"/>
    <xf numFmtId="0" fontId="5" fillId="21" borderId="1" xfId="0" applyFont="1" applyFill="1" applyBorder="1" applyAlignment="1">
      <alignment horizontal="center"/>
    </xf>
    <xf numFmtId="0" fontId="16" fillId="14" borderId="19" xfId="0" applyFont="1" applyFill="1" applyBorder="1"/>
    <xf numFmtId="0" fontId="16" fillId="14" borderId="20" xfId="0" applyFont="1" applyFill="1" applyBorder="1"/>
    <xf numFmtId="0" fontId="16" fillId="14" borderId="4" xfId="0" applyFont="1" applyFill="1" applyBorder="1"/>
    <xf numFmtId="41" fontId="1" fillId="13" borderId="0" xfId="0" applyNumberFormat="1" applyFont="1" applyFill="1"/>
    <xf numFmtId="10" fontId="1" fillId="12" borderId="1" xfId="19" applyNumberFormat="1" applyFont="1" applyFill="1" applyBorder="1" applyAlignment="1">
      <alignment vertical="center"/>
    </xf>
    <xf numFmtId="0" fontId="31" fillId="15" borderId="11" xfId="0" applyFont="1" applyFill="1" applyBorder="1" applyAlignment="1">
      <alignment horizontal="center"/>
    </xf>
    <xf numFmtId="0" fontId="31" fillId="15" borderId="12" xfId="0" applyFont="1" applyFill="1" applyBorder="1" applyAlignment="1">
      <alignment horizontal="center"/>
    </xf>
    <xf numFmtId="0" fontId="6" fillId="3" borderId="0" xfId="0" applyFont="1" applyFill="1" applyAlignment="1">
      <alignment horizontal="center"/>
    </xf>
    <xf numFmtId="0" fontId="8" fillId="2" borderId="0" xfId="0" applyFont="1" applyFill="1" applyAlignment="1">
      <alignment horizontal="center" vertical="center" wrapText="1"/>
    </xf>
    <xf numFmtId="0" fontId="26" fillId="0" borderId="0" xfId="17" applyFont="1" applyFill="1" applyBorder="1" applyAlignment="1">
      <alignment vertical="center" wrapText="1"/>
    </xf>
    <xf numFmtId="0" fontId="27" fillId="0" borderId="0" xfId="17" applyFont="1" applyFill="1" applyBorder="1" applyAlignment="1">
      <alignment vertical="center"/>
    </xf>
    <xf numFmtId="164" fontId="6" fillId="0" borderId="0" xfId="13" applyNumberFormat="1" applyFont="1" applyBorder="1" applyAlignment="1">
      <alignment horizontal="center" vertical="center"/>
    </xf>
    <xf numFmtId="0" fontId="47" fillId="0" borderId="0" xfId="29" applyFont="1" applyAlignment="1"/>
    <xf numFmtId="0" fontId="10" fillId="13" borderId="0" xfId="21" applyFill="1" applyAlignment="1"/>
    <xf numFmtId="0" fontId="5" fillId="13" borderId="0" xfId="0" applyFont="1" applyFill="1" applyAlignment="1"/>
  </cellXfs>
  <cellStyles count="31">
    <cellStyle name="20% - Accent1 2" xfId="20" xr:uid="{00000000-0005-0000-0000-000000000000}"/>
    <cellStyle name="20% - Accent3 2" xfId="14" xr:uid="{00000000-0005-0000-0000-000001000000}"/>
    <cellStyle name="60% - Accent1 2" xfId="15" xr:uid="{00000000-0005-0000-0000-000002000000}"/>
    <cellStyle name="Accent4 2" xfId="19" xr:uid="{00000000-0005-0000-0000-000003000000}"/>
    <cellStyle name="Comma" xfId="4" xr:uid="{00000000-0005-0000-0000-000004000000}"/>
    <cellStyle name="Comma [0]" xfId="5" xr:uid="{00000000-0005-0000-0000-000005000000}"/>
    <cellStyle name="Comma 2" xfId="10" xr:uid="{00000000-0005-0000-0000-000006000000}"/>
    <cellStyle name="Comma 2 2" xfId="30" xr:uid="{AB2924BD-4E4C-4EDF-A7EC-05140EC1A19E}"/>
    <cellStyle name="Comma 3" xfId="25" xr:uid="{00000000-0005-0000-0000-000007000000}"/>
    <cellStyle name="Currency" xfId="2" xr:uid="{00000000-0005-0000-0000-000008000000}"/>
    <cellStyle name="Currency [0]" xfId="3" xr:uid="{00000000-0005-0000-0000-000009000000}"/>
    <cellStyle name="Currency 2" xfId="9" xr:uid="{00000000-0005-0000-0000-00000A000000}"/>
    <cellStyle name="Currency 3" xfId="13" xr:uid="{00000000-0005-0000-0000-00000B000000}"/>
    <cellStyle name="Hyperlink 2" xfId="27" xr:uid="{00000000-0005-0000-0000-00000C000000}"/>
    <cellStyle name="Input 2" xfId="16" xr:uid="{00000000-0005-0000-0000-00000D000000}"/>
    <cellStyle name="Normal" xfId="0" builtinId="0"/>
    <cellStyle name="Normal 10" xfId="21" xr:uid="{00000000-0005-0000-0000-00000F000000}"/>
    <cellStyle name="Normal 2" xfId="6" xr:uid="{00000000-0005-0000-0000-000010000000}"/>
    <cellStyle name="Normal 2 2" xfId="29" xr:uid="{80B118A9-8FA5-47FC-95E5-F187DA291F0F}"/>
    <cellStyle name="Normal 3" xfId="7" xr:uid="{00000000-0005-0000-0000-000011000000}"/>
    <cellStyle name="Normal 4" xfId="8" xr:uid="{00000000-0005-0000-0000-000012000000}"/>
    <cellStyle name="Normal 5" xfId="12" xr:uid="{00000000-0005-0000-0000-000013000000}"/>
    <cellStyle name="Normal 6" xfId="22" xr:uid="{00000000-0005-0000-0000-000014000000}"/>
    <cellStyle name="Normal 7" xfId="23" xr:uid="{00000000-0005-0000-0000-000015000000}"/>
    <cellStyle name="Normal 8" xfId="24" xr:uid="{00000000-0005-0000-0000-000016000000}"/>
    <cellStyle name="Normal 9" xfId="28" xr:uid="{B8D22174-C66F-418D-9147-E7123A5984FD}"/>
    <cellStyle name="Output 2" xfId="17" xr:uid="{00000000-0005-0000-0000-000017000000}"/>
    <cellStyle name="Percent" xfId="1" xr:uid="{00000000-0005-0000-0000-000018000000}"/>
    <cellStyle name="Percent 2" xfId="11" xr:uid="{00000000-0005-0000-0000-000019000000}"/>
    <cellStyle name="Percent 3" xfId="18" xr:uid="{00000000-0005-0000-0000-00001A000000}"/>
    <cellStyle name="Percent 4" xfId="26" xr:uid="{00000000-0005-0000-0000-00001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25A0DB"/>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blakez\AppData\Local\Microsoft\Windows\Temporary%20Internet%20Files\Content.Outlook\5HTEOIBV\Chapter70_Calcs-FY17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kalivast\Downloads\choice_tuition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Tolland\Tolland%20Char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Group\Budget\FY2015\02.%20Budget%20Overview\aaghistorical%20-%20Copy.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Budget%20Files%20FY2025/Capital%20Planning/CapitalTargetsTemplate.xlsx" TargetMode="External"/><Relationship Id="rId2" Type="http://schemas.openxmlformats.org/officeDocument/2006/relationships/externalLinkPath" Target="file:///D:\Budget%20Files%20FY2025\Capital%20Planning\CapitalTargetsTemplate.xlsx" TargetMode="External"/><Relationship Id="rId1" Type="http://schemas.openxmlformats.org/officeDocument/2006/relationships/externalLinkPath" Target="/Budget%20Files%20FY2025/Capital%20Planning/CapitalTargets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parameters"/>
      <sheetName val="index"/>
      <sheetName val="rates"/>
      <sheetName val="foundation budget"/>
      <sheetName val="municipal contribution"/>
      <sheetName val="regional allocation"/>
      <sheetName val="summary"/>
      <sheetName val="regional dist members"/>
      <sheetName val="ceyregionalcalc"/>
      <sheetName val="regionals"/>
      <sheetName val="comparison to fy16"/>
      <sheetName val="townwide contributions"/>
      <sheetName val="localcont"/>
      <sheetName val="aid436"/>
      <sheetName val="frac"/>
      <sheetName val="disthist"/>
      <sheetName val="dist435"/>
      <sheetName val="le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final"/>
      <sheetName val="cs scatter"/>
      <sheetName val="fte10yr"/>
      <sheetName val="detail1112"/>
      <sheetName val="projo12jul"/>
      <sheetName val="dec"/>
      <sheetName val="mar"/>
      <sheetName val="june"/>
      <sheetName val="statewide listing"/>
      <sheetName val="leas"/>
      <sheetName val="district report"/>
      <sheetName val="distribu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bilization"/>
      <sheetName val="Free Cash"/>
      <sheetName val="Revenue"/>
      <sheetName val="Rev Graphs"/>
      <sheetName val="State Aid"/>
      <sheetName val="Budget"/>
      <sheetName val="Reg. School Share"/>
      <sheetName val="By Class"/>
      <sheetName val="Bill_Rate"/>
      <sheetName val="Per Capita"/>
      <sheetName val="Expenditures"/>
      <sheetName val="Assesed Val"/>
      <sheetName val="LA4"/>
      <sheetName val="Local Receipts"/>
      <sheetName val="% of Value"/>
      <sheetName val="% of Income"/>
      <sheetName val="Excess Capacity"/>
      <sheetName val="OverrideUnderrideCapStab"/>
      <sheetName val="DebtExclusionALL"/>
      <sheetName val="Cap Funding"/>
      <sheetName val="Debt"/>
      <sheetName val="SOL"/>
      <sheetName val="SOL2"/>
      <sheetName val="Parcels"/>
      <sheetName val="Town Owned"/>
      <sheetName val="Pop"/>
      <sheetName val="Budget Flow"/>
      <sheetName val="2. CIP Submission Form"/>
      <sheetName val="1. Facilities Inventory"/>
      <sheetName val="Project Detail"/>
      <sheetName val="CIP"/>
      <sheetName val="Facilities"/>
      <sheetName val="Assets"/>
      <sheetName val="Financial Targets"/>
      <sheetName val="Financial Targets (2)"/>
      <sheetName val="Cacapity comp"/>
      <sheetName val="Calend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vy Capacity"/>
      <sheetName val="Formatted Tables"/>
      <sheetName val="Historical"/>
      <sheetName val="Debt Model"/>
      <sheetName val="Formatted Debt Model"/>
      <sheetName val="Revenues by Source"/>
      <sheetName val="Free Cash"/>
      <sheetName val="% of State Aid"/>
      <sheetName val="Tax Levy"/>
      <sheetName val="Valuations"/>
      <sheetName val="Assessed Values"/>
      <sheetName val="Levy"/>
      <sheetName val="Rates"/>
      <sheetName val="Revenue"/>
      <sheetName val="Reserves"/>
      <sheetName val="Avg Bill"/>
      <sheetName val="CS"/>
      <sheetName val="GF Debt Service"/>
      <sheetName val="Ent Debt Service"/>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Notes"/>
      <sheetName val="Summary"/>
      <sheetName val="GF Analysis"/>
      <sheetName val="Revenues"/>
      <sheetName val="Tax Levy"/>
      <sheetName val="State Aid"/>
      <sheetName val="Local Receipts"/>
      <sheetName val="Debt"/>
      <sheetName val="CIP"/>
      <sheetName val="Amortization"/>
    </sheetNames>
    <sheetDataSet>
      <sheetData sheetId="0"/>
      <sheetData sheetId="1"/>
      <sheetData sheetId="2">
        <row r="6">
          <cell r="C6" t="str">
            <v>FY2021</v>
          </cell>
          <cell r="D6" t="str">
            <v>FY2022</v>
          </cell>
          <cell r="E6" t="str">
            <v>FY2023</v>
          </cell>
          <cell r="F6" t="str">
            <v>FY2024</v>
          </cell>
          <cell r="G6" t="str">
            <v>FY2025</v>
          </cell>
          <cell r="H6" t="str">
            <v>FY2026</v>
          </cell>
          <cell r="I6" t="str">
            <v>FY2027</v>
          </cell>
          <cell r="J6" t="str">
            <v>FY2028</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98698-086F-4084-A72E-E63FF8E16B4F}">
  <sheetPr>
    <tabColor theme="4" tint="0.59999389629810485"/>
  </sheetPr>
  <dimension ref="A1:L48"/>
  <sheetViews>
    <sheetView zoomScaleNormal="100" workbookViewId="0">
      <selection activeCell="H21" sqref="H21"/>
    </sheetView>
  </sheetViews>
  <sheetFormatPr defaultColWidth="9.140625" defaultRowHeight="15"/>
  <cols>
    <col min="1" max="1" width="9.85546875" style="66" customWidth="1"/>
    <col min="2" max="2" width="9.42578125" style="70" customWidth="1"/>
    <col min="3" max="3" width="12.5703125" style="70" customWidth="1"/>
    <col min="4" max="4" width="27.7109375" style="66" customWidth="1"/>
    <col min="5" max="5" width="45.7109375" style="66" customWidth="1"/>
    <col min="6" max="16384" width="9.140625" style="66"/>
  </cols>
  <sheetData>
    <row r="1" spans="1:6">
      <c r="A1" s="68" t="s">
        <v>0</v>
      </c>
      <c r="D1" s="69" t="s">
        <v>1</v>
      </c>
      <c r="E1" s="69" t="s">
        <v>2</v>
      </c>
    </row>
    <row r="2" spans="1:6">
      <c r="A2" s="68"/>
      <c r="D2" s="69" t="s">
        <v>3</v>
      </c>
      <c r="E2" s="69" t="s">
        <v>4</v>
      </c>
    </row>
    <row r="3" spans="1:6">
      <c r="D3" s="69" t="s">
        <v>5</v>
      </c>
      <c r="E3" s="69" t="s">
        <v>6</v>
      </c>
    </row>
    <row r="4" spans="1:6" ht="18" customHeight="1">
      <c r="D4" s="69" t="s">
        <v>7</v>
      </c>
    </row>
    <row r="5" spans="1:6">
      <c r="A5" s="88" t="s">
        <v>8</v>
      </c>
      <c r="B5" s="89" t="s">
        <v>9</v>
      </c>
      <c r="C5" s="89" t="s">
        <v>10</v>
      </c>
      <c r="D5" s="230" t="s">
        <v>11</v>
      </c>
      <c r="E5" s="231"/>
      <c r="F5" s="87"/>
    </row>
    <row r="6" spans="1:6">
      <c r="A6" s="90" t="s">
        <v>12</v>
      </c>
      <c r="B6" s="74">
        <v>44501</v>
      </c>
      <c r="C6" s="81" t="s">
        <v>13</v>
      </c>
      <c r="D6" s="85" t="s">
        <v>14</v>
      </c>
      <c r="E6" s="81"/>
      <c r="F6" s="87"/>
    </row>
    <row r="7" spans="1:6">
      <c r="A7" s="90"/>
      <c r="B7" s="74">
        <v>44501</v>
      </c>
      <c r="C7" s="81" t="s">
        <v>15</v>
      </c>
      <c r="D7" s="85" t="s">
        <v>16</v>
      </c>
      <c r="E7" s="81"/>
      <c r="F7" s="87"/>
    </row>
    <row r="8" spans="1:6">
      <c r="A8" s="91"/>
      <c r="B8" s="71">
        <v>45981</v>
      </c>
      <c r="C8" s="72" t="s">
        <v>17</v>
      </c>
      <c r="D8" s="85" t="s">
        <v>18</v>
      </c>
      <c r="E8" s="81"/>
      <c r="F8" s="87"/>
    </row>
    <row r="9" spans="1:6">
      <c r="A9" s="92"/>
      <c r="B9" s="82"/>
      <c r="C9" s="82"/>
      <c r="D9" s="82"/>
      <c r="E9" s="86"/>
      <c r="F9" s="87"/>
    </row>
    <row r="10" spans="1:6">
      <c r="A10" s="93" t="s">
        <v>19</v>
      </c>
      <c r="B10" s="71">
        <v>44531</v>
      </c>
      <c r="C10" s="72" t="s">
        <v>20</v>
      </c>
      <c r="D10" s="85" t="s">
        <v>21</v>
      </c>
      <c r="E10" s="85"/>
      <c r="F10" s="87"/>
    </row>
    <row r="11" spans="1:6">
      <c r="A11" s="91"/>
      <c r="B11" s="71">
        <v>42348</v>
      </c>
      <c r="C11" s="72" t="s">
        <v>22</v>
      </c>
      <c r="D11" s="85" t="s">
        <v>23</v>
      </c>
      <c r="E11" s="85"/>
      <c r="F11" s="87"/>
    </row>
    <row r="12" spans="1:6">
      <c r="A12" s="91"/>
      <c r="B12" s="71">
        <v>46001</v>
      </c>
      <c r="C12" s="72" t="s">
        <v>22</v>
      </c>
      <c r="D12" s="85" t="s">
        <v>24</v>
      </c>
      <c r="E12" s="85"/>
      <c r="F12" s="87"/>
    </row>
    <row r="13" spans="1:6">
      <c r="A13" s="91"/>
      <c r="B13" s="71">
        <v>44540</v>
      </c>
      <c r="C13" s="72" t="s">
        <v>17</v>
      </c>
      <c r="D13" s="85" t="s">
        <v>25</v>
      </c>
      <c r="E13" s="85"/>
      <c r="F13" s="87"/>
    </row>
    <row r="14" spans="1:6">
      <c r="A14" s="93"/>
      <c r="B14" s="75">
        <v>43814</v>
      </c>
      <c r="C14" s="76" t="s">
        <v>17</v>
      </c>
      <c r="D14" s="85" t="s">
        <v>26</v>
      </c>
      <c r="E14" s="85"/>
      <c r="F14" s="87"/>
    </row>
    <row r="15" spans="1:6">
      <c r="A15" s="91"/>
      <c r="B15" s="71">
        <v>43814</v>
      </c>
      <c r="C15" s="72" t="s">
        <v>17</v>
      </c>
      <c r="D15" s="85" t="s">
        <v>27</v>
      </c>
      <c r="E15" s="85"/>
      <c r="F15" s="87"/>
    </row>
    <row r="16" spans="1:6">
      <c r="A16" s="93"/>
      <c r="B16" s="75">
        <v>43830</v>
      </c>
      <c r="C16" s="76" t="s">
        <v>13</v>
      </c>
      <c r="D16" s="85" t="s">
        <v>28</v>
      </c>
      <c r="E16" s="85"/>
      <c r="F16" s="87"/>
    </row>
    <row r="17" spans="1:6">
      <c r="A17" s="92"/>
      <c r="B17" s="82"/>
      <c r="C17" s="82"/>
      <c r="D17" s="82"/>
      <c r="E17" s="86"/>
      <c r="F17" s="87"/>
    </row>
    <row r="18" spans="1:6">
      <c r="A18" s="93" t="s">
        <v>29</v>
      </c>
      <c r="B18" s="75">
        <v>43467</v>
      </c>
      <c r="C18" s="76" t="s">
        <v>17</v>
      </c>
      <c r="D18" s="85" t="s">
        <v>30</v>
      </c>
      <c r="E18" s="85"/>
      <c r="F18" s="87"/>
    </row>
    <row r="19" spans="1:6">
      <c r="A19" s="91"/>
      <c r="B19" s="71">
        <v>43467</v>
      </c>
      <c r="C19" s="72" t="s">
        <v>17</v>
      </c>
      <c r="D19" s="85" t="s">
        <v>31</v>
      </c>
      <c r="E19" s="85"/>
      <c r="F19" s="87"/>
    </row>
    <row r="20" spans="1:6">
      <c r="A20" s="93"/>
      <c r="B20" s="75"/>
      <c r="C20" s="76"/>
      <c r="D20" s="85"/>
      <c r="E20" s="85"/>
      <c r="F20" s="87"/>
    </row>
    <row r="21" spans="1:6">
      <c r="A21" s="91"/>
      <c r="B21" s="71">
        <v>43485</v>
      </c>
      <c r="C21" s="72" t="s">
        <v>32</v>
      </c>
      <c r="D21" s="85" t="s">
        <v>33</v>
      </c>
      <c r="E21" s="85"/>
      <c r="F21" s="87"/>
    </row>
    <row r="22" spans="1:6">
      <c r="A22" s="93"/>
      <c r="B22" s="75">
        <v>43496</v>
      </c>
      <c r="C22" s="76" t="s">
        <v>17</v>
      </c>
      <c r="D22" s="85" t="s">
        <v>34</v>
      </c>
      <c r="E22" s="85"/>
      <c r="F22" s="87"/>
    </row>
    <row r="23" spans="1:6">
      <c r="A23" s="91"/>
      <c r="B23" s="71">
        <v>43496</v>
      </c>
      <c r="C23" s="72" t="s">
        <v>32</v>
      </c>
      <c r="D23" s="85"/>
      <c r="E23" s="85"/>
      <c r="F23" s="87"/>
    </row>
    <row r="24" spans="1:6">
      <c r="A24" s="94"/>
      <c r="B24" s="83"/>
      <c r="C24" s="83"/>
      <c r="D24" s="82"/>
      <c r="E24" s="86"/>
      <c r="F24" s="87"/>
    </row>
    <row r="25" spans="1:6">
      <c r="A25" s="91" t="s">
        <v>35</v>
      </c>
      <c r="B25" s="71">
        <v>43497</v>
      </c>
      <c r="C25" s="72" t="s">
        <v>17</v>
      </c>
      <c r="D25" s="85" t="s">
        <v>36</v>
      </c>
      <c r="E25" s="85"/>
      <c r="F25" s="87"/>
    </row>
    <row r="26" spans="1:6">
      <c r="A26" s="93"/>
      <c r="B26" s="75">
        <v>43511</v>
      </c>
      <c r="C26" s="76" t="s">
        <v>17</v>
      </c>
      <c r="D26" s="77" t="s">
        <v>37</v>
      </c>
      <c r="E26" s="85"/>
      <c r="F26" s="87"/>
    </row>
    <row r="27" spans="1:6">
      <c r="A27" s="91"/>
      <c r="B27" s="72" t="s">
        <v>38</v>
      </c>
      <c r="C27" s="72" t="s">
        <v>17</v>
      </c>
      <c r="D27" s="73" t="s">
        <v>39</v>
      </c>
      <c r="E27" s="85"/>
      <c r="F27" s="87"/>
    </row>
    <row r="28" spans="1:6">
      <c r="A28" s="93"/>
      <c r="B28" s="76" t="s">
        <v>38</v>
      </c>
      <c r="C28" s="76" t="s">
        <v>17</v>
      </c>
      <c r="D28" s="77" t="s">
        <v>40</v>
      </c>
      <c r="E28" s="85"/>
      <c r="F28" s="87"/>
    </row>
    <row r="29" spans="1:6">
      <c r="A29" s="91"/>
      <c r="B29" s="71">
        <v>43524</v>
      </c>
      <c r="C29" s="72" t="s">
        <v>41</v>
      </c>
      <c r="D29" s="73" t="s">
        <v>42</v>
      </c>
      <c r="E29" s="85"/>
      <c r="F29" s="87"/>
    </row>
    <row r="30" spans="1:6">
      <c r="A30" s="94"/>
      <c r="B30" s="83"/>
      <c r="C30" s="83"/>
      <c r="D30" s="82"/>
      <c r="E30" s="86"/>
      <c r="F30" s="87"/>
    </row>
    <row r="31" spans="1:6">
      <c r="A31" s="91" t="s">
        <v>43</v>
      </c>
      <c r="B31" s="71">
        <v>43525</v>
      </c>
      <c r="C31" s="72" t="s">
        <v>17</v>
      </c>
      <c r="D31" s="85" t="s">
        <v>44</v>
      </c>
      <c r="E31" s="85"/>
      <c r="F31" s="87"/>
    </row>
    <row r="32" spans="1:6">
      <c r="A32" s="93"/>
      <c r="B32" s="75">
        <v>45731</v>
      </c>
      <c r="C32" s="76" t="s">
        <v>20</v>
      </c>
      <c r="D32" s="85" t="s">
        <v>45</v>
      </c>
      <c r="E32" s="85"/>
      <c r="F32" s="87"/>
    </row>
    <row r="33" spans="1:12">
      <c r="A33" s="91"/>
      <c r="B33" s="71">
        <v>45000</v>
      </c>
      <c r="C33" s="72" t="s">
        <v>17</v>
      </c>
      <c r="D33" s="85" t="s">
        <v>46</v>
      </c>
      <c r="E33" s="85"/>
      <c r="F33" s="87"/>
    </row>
    <row r="34" spans="1:12">
      <c r="A34" s="91"/>
      <c r="B34" s="71">
        <v>43539</v>
      </c>
      <c r="C34" s="72" t="s">
        <v>17</v>
      </c>
      <c r="D34" s="85" t="s">
        <v>47</v>
      </c>
      <c r="E34" s="85"/>
      <c r="F34" s="87"/>
    </row>
    <row r="35" spans="1:12">
      <c r="A35" s="91"/>
      <c r="B35" s="72" t="s">
        <v>38</v>
      </c>
      <c r="C35" s="76" t="s">
        <v>48</v>
      </c>
      <c r="D35" s="85" t="s">
        <v>39</v>
      </c>
      <c r="E35" s="85"/>
      <c r="F35" s="87"/>
    </row>
    <row r="36" spans="1:12">
      <c r="A36" s="92"/>
      <c r="B36" s="82"/>
      <c r="C36" s="82"/>
      <c r="D36" s="82"/>
      <c r="E36" s="86"/>
      <c r="F36" s="87"/>
    </row>
    <row r="37" spans="1:12">
      <c r="A37" s="93" t="s">
        <v>49</v>
      </c>
      <c r="B37" s="75">
        <v>43556</v>
      </c>
      <c r="C37" s="76" t="s">
        <v>20</v>
      </c>
      <c r="D37" s="85" t="s">
        <v>50</v>
      </c>
      <c r="E37" s="85"/>
      <c r="F37" s="87"/>
      <c r="L37" s="85"/>
    </row>
    <row r="38" spans="1:12">
      <c r="A38" s="91"/>
      <c r="B38" s="71">
        <v>43556</v>
      </c>
      <c r="C38" s="72" t="s">
        <v>17</v>
      </c>
      <c r="D38" s="85" t="s">
        <v>51</v>
      </c>
      <c r="E38" s="85"/>
      <c r="F38" s="87"/>
    </row>
    <row r="39" spans="1:12">
      <c r="A39" s="91"/>
      <c r="B39" s="71">
        <v>43565</v>
      </c>
      <c r="C39" s="72" t="s">
        <v>17</v>
      </c>
      <c r="D39" s="85" t="s">
        <v>52</v>
      </c>
      <c r="E39" s="85"/>
      <c r="F39" s="87"/>
    </row>
    <row r="40" spans="1:12">
      <c r="A40" s="91"/>
      <c r="B40" s="71">
        <v>43570</v>
      </c>
      <c r="C40" s="72" t="s">
        <v>17</v>
      </c>
      <c r="D40" s="85" t="s">
        <v>53</v>
      </c>
      <c r="E40" s="85"/>
      <c r="F40" s="87"/>
    </row>
    <row r="41" spans="1:12">
      <c r="A41" s="91"/>
      <c r="B41" s="71">
        <v>43570</v>
      </c>
      <c r="C41" s="72" t="s">
        <v>48</v>
      </c>
      <c r="D41" s="85" t="s">
        <v>54</v>
      </c>
      <c r="E41" s="85"/>
      <c r="F41" s="87"/>
    </row>
    <row r="42" spans="1:12">
      <c r="A42" s="93"/>
      <c r="B42" s="75">
        <v>43585</v>
      </c>
      <c r="C42" s="76" t="s">
        <v>48</v>
      </c>
      <c r="D42" s="85" t="s">
        <v>55</v>
      </c>
      <c r="E42" s="85"/>
      <c r="F42" s="87"/>
    </row>
    <row r="43" spans="1:12">
      <c r="A43" s="91"/>
      <c r="B43" s="71">
        <v>43585</v>
      </c>
      <c r="C43" s="72" t="s">
        <v>17</v>
      </c>
      <c r="D43" s="85" t="s">
        <v>56</v>
      </c>
      <c r="E43" s="85"/>
      <c r="F43" s="87"/>
    </row>
    <row r="44" spans="1:12">
      <c r="A44" s="94"/>
      <c r="B44" s="83"/>
      <c r="C44" s="83"/>
      <c r="D44" s="82"/>
      <c r="E44" s="86"/>
      <c r="F44" s="87"/>
    </row>
    <row r="45" spans="1:12">
      <c r="A45" s="91" t="s">
        <v>57</v>
      </c>
      <c r="B45" s="71">
        <v>45778</v>
      </c>
      <c r="C45" s="72" t="s">
        <v>41</v>
      </c>
      <c r="D45" s="85" t="s">
        <v>58</v>
      </c>
      <c r="E45" s="85"/>
      <c r="F45" s="87"/>
    </row>
    <row r="46" spans="1:12">
      <c r="B46" s="200">
        <v>45786</v>
      </c>
      <c r="D46" s="214" t="s">
        <v>59</v>
      </c>
      <c r="F46" s="87"/>
    </row>
    <row r="47" spans="1:12">
      <c r="A47" s="93" t="s">
        <v>60</v>
      </c>
      <c r="B47" s="199">
        <v>45809</v>
      </c>
      <c r="C47" s="76"/>
      <c r="D47" s="213" t="s">
        <v>61</v>
      </c>
      <c r="E47" s="85"/>
      <c r="F47" s="87"/>
    </row>
    <row r="48" spans="1:12">
      <c r="A48" s="95"/>
      <c r="B48" s="82"/>
      <c r="C48" s="82"/>
      <c r="D48" s="82"/>
      <c r="E48" s="86"/>
    </row>
  </sheetData>
  <mergeCells count="1">
    <mergeCell ref="D5:E5"/>
  </mergeCells>
  <pageMargins left="0.7" right="0.7" top="0.75" bottom="0.75" header="0.3" footer="0.3"/>
  <pageSetup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61A01-9550-475A-AB13-6E24C0E6D5E8}">
  <dimension ref="A1:N116"/>
  <sheetViews>
    <sheetView topLeftCell="B19" zoomScaleNormal="100" workbookViewId="0">
      <selection activeCell="N39" sqref="N39"/>
    </sheetView>
  </sheetViews>
  <sheetFormatPr defaultColWidth="9" defaultRowHeight="15"/>
  <cols>
    <col min="1" max="1" width="9" style="131"/>
    <col min="2" max="2" width="22" style="131" customWidth="1"/>
    <col min="3" max="5" width="9.5703125" style="131" bestFit="1" customWidth="1"/>
    <col min="6" max="7" width="11" style="131" bestFit="1" customWidth="1"/>
    <col min="8" max="8" width="12.5703125" style="131" bestFit="1" customWidth="1"/>
    <col min="9" max="9" width="13.42578125" style="131" bestFit="1" customWidth="1"/>
    <col min="10" max="10" width="13.5703125" style="131" bestFit="1" customWidth="1"/>
    <col min="11" max="11" width="10.5703125" style="131" customWidth="1"/>
    <col min="12" max="12" width="11.7109375" style="131" customWidth="1"/>
    <col min="13" max="13" width="12.5703125" style="131" customWidth="1"/>
    <col min="14" max="14" width="10.5703125" style="131" customWidth="1"/>
    <col min="15" max="16384" width="9" style="131"/>
  </cols>
  <sheetData>
    <row r="1" spans="1:14">
      <c r="A1" s="190" t="s">
        <v>62</v>
      </c>
      <c r="B1" s="133"/>
      <c r="C1" s="189"/>
      <c r="D1" s="189"/>
      <c r="E1" s="189"/>
      <c r="F1" s="189"/>
      <c r="G1" s="189"/>
      <c r="H1" s="189"/>
      <c r="I1" s="189"/>
      <c r="J1" s="189"/>
    </row>
    <row r="2" spans="1:14">
      <c r="A2" s="237" t="s">
        <v>63</v>
      </c>
      <c r="B2" s="237"/>
      <c r="C2" s="189"/>
      <c r="D2" s="189"/>
      <c r="E2" s="189"/>
      <c r="F2" s="189"/>
      <c r="G2" s="189"/>
      <c r="H2" s="189"/>
      <c r="I2" s="189"/>
      <c r="J2" s="189"/>
    </row>
    <row r="3" spans="1:14">
      <c r="A3" s="187"/>
      <c r="B3" s="133"/>
      <c r="C3" s="189"/>
      <c r="D3" s="189"/>
      <c r="E3" s="189"/>
      <c r="F3" s="189"/>
      <c r="G3" s="189"/>
      <c r="H3" s="189"/>
      <c r="I3" s="189"/>
      <c r="J3" s="189"/>
    </row>
    <row r="4" spans="1:14">
      <c r="A4" s="187"/>
      <c r="B4" s="133"/>
      <c r="C4" s="188"/>
      <c r="D4" s="188"/>
      <c r="E4" s="188"/>
      <c r="F4" s="188"/>
      <c r="G4" s="188"/>
      <c r="H4" s="188"/>
      <c r="I4" s="188"/>
      <c r="J4" s="188"/>
    </row>
    <row r="5" spans="1:14">
      <c r="A5" s="187"/>
      <c r="B5" s="133"/>
      <c r="C5" s="185" t="str">
        <f>'[5]GF Analysis'!D6</f>
        <v>FY2022</v>
      </c>
      <c r="D5" s="185" t="str">
        <f>'[5]GF Analysis'!E6</f>
        <v>FY2023</v>
      </c>
      <c r="E5" s="185" t="str">
        <f>'[5]GF Analysis'!F6</f>
        <v>FY2024</v>
      </c>
      <c r="F5" s="185" t="str">
        <f>'[5]GF Analysis'!G6</f>
        <v>FY2025</v>
      </c>
      <c r="G5" s="185" t="str">
        <f>'[5]GF Analysis'!H6</f>
        <v>FY2026</v>
      </c>
      <c r="H5" s="185" t="str">
        <f>'[5]GF Analysis'!I6</f>
        <v>FY2027</v>
      </c>
      <c r="I5" s="185" t="str">
        <f>'[5]GF Analysis'!J6</f>
        <v>FY2028</v>
      </c>
      <c r="J5" s="186" t="s">
        <v>64</v>
      </c>
      <c r="K5" s="186" t="s">
        <v>65</v>
      </c>
      <c r="L5" s="186" t="s">
        <v>66</v>
      </c>
      <c r="M5" s="186" t="s">
        <v>67</v>
      </c>
    </row>
    <row r="6" spans="1:14">
      <c r="A6" s="183" t="s">
        <v>68</v>
      </c>
      <c r="B6" s="183" t="s">
        <v>69</v>
      </c>
      <c r="C6" s="185" t="s">
        <v>70</v>
      </c>
      <c r="D6" s="185" t="s">
        <v>70</v>
      </c>
      <c r="E6" s="185" t="s">
        <v>70</v>
      </c>
      <c r="F6" s="185" t="s">
        <v>70</v>
      </c>
      <c r="G6" s="184" t="s">
        <v>70</v>
      </c>
      <c r="H6" s="184" t="s">
        <v>71</v>
      </c>
      <c r="I6" s="184" t="s">
        <v>71</v>
      </c>
      <c r="J6" s="184" t="s">
        <v>71</v>
      </c>
      <c r="K6" s="184" t="s">
        <v>71</v>
      </c>
      <c r="L6" s="184" t="s">
        <v>71</v>
      </c>
      <c r="M6" s="184" t="s">
        <v>71</v>
      </c>
    </row>
    <row r="7" spans="1:14">
      <c r="A7" s="165" t="s">
        <v>72</v>
      </c>
      <c r="B7" s="183"/>
      <c r="C7" s="182"/>
      <c r="D7" s="182"/>
      <c r="E7" s="182"/>
      <c r="F7" s="181"/>
      <c r="G7" s="181"/>
      <c r="H7" s="181"/>
      <c r="I7" s="181"/>
    </row>
    <row r="8" spans="1:14">
      <c r="A8" s="140"/>
      <c r="B8" s="177" t="s">
        <v>73</v>
      </c>
      <c r="C8" s="152">
        <v>0</v>
      </c>
      <c r="D8" s="152">
        <v>0</v>
      </c>
      <c r="E8" s="152">
        <v>0</v>
      </c>
      <c r="F8" s="152">
        <v>0</v>
      </c>
      <c r="G8" s="154">
        <v>0</v>
      </c>
      <c r="H8" s="152">
        <v>65000</v>
      </c>
      <c r="I8" s="152">
        <v>0</v>
      </c>
      <c r="J8" s="152">
        <v>0</v>
      </c>
      <c r="K8" s="152">
        <v>0</v>
      </c>
      <c r="L8" s="152">
        <v>0</v>
      </c>
      <c r="M8" s="152">
        <v>0</v>
      </c>
    </row>
    <row r="9" spans="1:14">
      <c r="A9" s="140"/>
      <c r="B9" s="180" t="s">
        <v>74</v>
      </c>
      <c r="C9" s="178">
        <v>0</v>
      </c>
      <c r="D9" s="178">
        <v>0</v>
      </c>
      <c r="E9" s="178">
        <v>0</v>
      </c>
      <c r="F9" s="178">
        <v>0</v>
      </c>
      <c r="G9" s="179">
        <v>0</v>
      </c>
      <c r="H9" s="178">
        <v>150000</v>
      </c>
      <c r="I9" s="178">
        <v>0</v>
      </c>
      <c r="J9" s="178">
        <v>0</v>
      </c>
      <c r="K9" s="178">
        <v>0</v>
      </c>
      <c r="L9" s="178">
        <v>0</v>
      </c>
      <c r="M9" s="178">
        <v>0</v>
      </c>
    </row>
    <row r="10" spans="1:14">
      <c r="A10" s="140"/>
      <c r="B10" s="177" t="s">
        <v>75</v>
      </c>
      <c r="C10" s="152"/>
      <c r="D10" s="152">
        <v>0</v>
      </c>
      <c r="E10" s="152">
        <v>0</v>
      </c>
      <c r="F10" s="152">
        <v>0</v>
      </c>
      <c r="G10" s="154">
        <v>0</v>
      </c>
      <c r="H10" s="152">
        <v>30000</v>
      </c>
      <c r="I10" s="152">
        <v>0</v>
      </c>
      <c r="J10" s="152">
        <v>0</v>
      </c>
      <c r="K10" s="152">
        <v>0</v>
      </c>
      <c r="L10" s="152">
        <v>0</v>
      </c>
      <c r="M10" s="152">
        <v>0</v>
      </c>
    </row>
    <row r="11" spans="1:14">
      <c r="A11" s="140"/>
      <c r="B11" s="177" t="s">
        <v>76</v>
      </c>
      <c r="C11" s="152">
        <v>0</v>
      </c>
      <c r="D11" s="152">
        <v>0</v>
      </c>
      <c r="E11" s="156">
        <v>177000</v>
      </c>
      <c r="F11" s="152">
        <v>0</v>
      </c>
      <c r="G11" s="152">
        <v>0</v>
      </c>
      <c r="H11" s="152">
        <v>0</v>
      </c>
      <c r="I11" s="152">
        <v>0</v>
      </c>
      <c r="J11" s="152">
        <v>0</v>
      </c>
      <c r="K11" s="152">
        <v>0</v>
      </c>
      <c r="L11" s="152">
        <v>0</v>
      </c>
      <c r="M11" s="152">
        <v>0</v>
      </c>
    </row>
    <row r="12" spans="1:14">
      <c r="B12" s="177" t="s">
        <v>77</v>
      </c>
      <c r="C12" s="154">
        <v>0</v>
      </c>
      <c r="D12" s="154">
        <v>0</v>
      </c>
      <c r="E12" s="154">
        <v>0</v>
      </c>
      <c r="F12" s="154">
        <v>0</v>
      </c>
      <c r="G12" s="156">
        <v>10000</v>
      </c>
      <c r="H12" s="152">
        <v>0</v>
      </c>
      <c r="I12" s="152">
        <v>0</v>
      </c>
      <c r="J12" s="152">
        <v>0</v>
      </c>
      <c r="K12" s="152">
        <v>0</v>
      </c>
      <c r="L12" s="152">
        <v>0</v>
      </c>
      <c r="M12" s="152">
        <v>0</v>
      </c>
    </row>
    <row r="13" spans="1:14">
      <c r="A13" s="140"/>
      <c r="B13" s="166" t="s">
        <v>78</v>
      </c>
      <c r="C13" s="150">
        <f>SUM(C8:C11)</f>
        <v>0</v>
      </c>
      <c r="D13" s="150">
        <f>SUM(D8:D11)</f>
        <v>0</v>
      </c>
      <c r="E13" s="150">
        <f>SUM(E8:E11)</f>
        <v>177000</v>
      </c>
      <c r="F13" s="150">
        <f>SUM(F8:F11)</f>
        <v>0</v>
      </c>
      <c r="G13" s="150">
        <f>SUM(G8:G12)</f>
        <v>10000</v>
      </c>
      <c r="H13" s="150">
        <f>SUM(H8:H12)</f>
        <v>245000</v>
      </c>
      <c r="I13" s="150">
        <f>SUM(I8:I11)</f>
        <v>0</v>
      </c>
      <c r="J13" s="150">
        <f>SUM(J8:J11)</f>
        <v>0</v>
      </c>
      <c r="K13" s="150">
        <f>SUM(K8:K11)</f>
        <v>0</v>
      </c>
      <c r="L13" s="150">
        <f>SUM(L8:L11)</f>
        <v>0</v>
      </c>
      <c r="M13" s="150">
        <f>SUM(M8:M11)</f>
        <v>0</v>
      </c>
    </row>
    <row r="14" spans="1:14">
      <c r="A14" s="137" t="s">
        <v>79</v>
      </c>
      <c r="B14" s="146"/>
      <c r="C14" s="135"/>
      <c r="D14" s="135"/>
      <c r="E14" s="135"/>
      <c r="F14" s="135"/>
      <c r="G14" s="135"/>
      <c r="H14" s="135"/>
      <c r="I14" s="135"/>
      <c r="J14" s="135"/>
      <c r="K14" s="135"/>
      <c r="L14" s="135"/>
      <c r="M14" s="135"/>
    </row>
    <row r="15" spans="1:14" ht="36.75">
      <c r="A15" s="176"/>
      <c r="B15" s="177" t="s">
        <v>80</v>
      </c>
      <c r="C15" s="152">
        <v>0</v>
      </c>
      <c r="D15" s="152">
        <v>0</v>
      </c>
      <c r="E15" s="156">
        <v>61052.02</v>
      </c>
      <c r="F15" s="154">
        <v>0</v>
      </c>
      <c r="G15" s="154">
        <v>0</v>
      </c>
      <c r="H15" s="171">
        <v>170000</v>
      </c>
      <c r="I15" s="171">
        <v>170000</v>
      </c>
      <c r="J15" s="171">
        <v>85000</v>
      </c>
      <c r="K15" s="171">
        <v>85000</v>
      </c>
      <c r="L15" s="171">
        <v>85000</v>
      </c>
      <c r="M15" s="171">
        <v>85000</v>
      </c>
      <c r="N15" s="131" t="s">
        <v>81</v>
      </c>
    </row>
    <row r="16" spans="1:14">
      <c r="A16" s="176"/>
      <c r="B16" s="177" t="s">
        <v>82</v>
      </c>
      <c r="C16" s="152">
        <v>0</v>
      </c>
      <c r="D16" s="152">
        <v>0</v>
      </c>
      <c r="E16" s="152">
        <v>0</v>
      </c>
      <c r="F16" s="152">
        <v>0</v>
      </c>
      <c r="G16" s="152">
        <v>0</v>
      </c>
      <c r="H16" s="152">
        <v>37000</v>
      </c>
      <c r="I16" s="152">
        <f>H16*1.05</f>
        <v>38850</v>
      </c>
      <c r="J16" s="152">
        <f>I16*1.05</f>
        <v>40792.5</v>
      </c>
      <c r="K16" s="152">
        <f>J16*1.05</f>
        <v>42832.125</v>
      </c>
      <c r="L16" s="152">
        <f>K16*1.05</f>
        <v>44973.731250000004</v>
      </c>
      <c r="M16" s="152">
        <f>L16*1.05</f>
        <v>47222.417812500003</v>
      </c>
    </row>
    <row r="17" spans="1:14" ht="24.75">
      <c r="A17" s="176"/>
      <c r="B17" s="177" t="s">
        <v>83</v>
      </c>
      <c r="C17" s="152"/>
      <c r="D17" s="152"/>
      <c r="E17" s="152"/>
      <c r="F17" s="152"/>
      <c r="G17" s="152"/>
      <c r="H17" s="171">
        <v>48500</v>
      </c>
      <c r="I17" s="171">
        <v>13500</v>
      </c>
      <c r="J17" s="171">
        <v>13500</v>
      </c>
      <c r="K17" s="171">
        <v>13500</v>
      </c>
      <c r="L17" s="171">
        <v>13500</v>
      </c>
      <c r="M17" s="171">
        <v>13500</v>
      </c>
      <c r="N17" s="131" t="s">
        <v>84</v>
      </c>
    </row>
    <row r="18" spans="1:14">
      <c r="A18" s="176"/>
      <c r="B18" s="177" t="s">
        <v>85</v>
      </c>
      <c r="C18" s="152">
        <v>0</v>
      </c>
      <c r="D18" s="152">
        <v>0</v>
      </c>
      <c r="E18" s="152">
        <v>0</v>
      </c>
      <c r="F18" s="152">
        <v>0</v>
      </c>
      <c r="G18" s="152">
        <v>0</v>
      </c>
      <c r="H18" s="171">
        <v>45000</v>
      </c>
      <c r="I18" s="171">
        <v>0</v>
      </c>
      <c r="J18" s="171">
        <v>0</v>
      </c>
      <c r="K18" s="171">
        <v>0</v>
      </c>
      <c r="L18" s="171">
        <v>0</v>
      </c>
      <c r="M18" s="171">
        <v>0</v>
      </c>
      <c r="N18" s="131" t="s">
        <v>86</v>
      </c>
    </row>
    <row r="19" spans="1:14">
      <c r="A19" s="176"/>
      <c r="B19" s="167" t="s">
        <v>87</v>
      </c>
      <c r="C19" s="170">
        <f>SUM(C15:C18)</f>
        <v>0</v>
      </c>
      <c r="D19" s="170">
        <f>SUM(D15:D18)</f>
        <v>0</v>
      </c>
      <c r="E19" s="170">
        <f>SUM(E15:E18)</f>
        <v>61052.02</v>
      </c>
      <c r="F19" s="170">
        <f>SUM(F15:F18)</f>
        <v>0</v>
      </c>
      <c r="G19" s="170">
        <f>SUM(G15:G18)</f>
        <v>0</v>
      </c>
      <c r="H19" s="170">
        <f>SUM(H15:H18)</f>
        <v>300500</v>
      </c>
      <c r="I19" s="170">
        <f>SUM(I15:I18)</f>
        <v>222350</v>
      </c>
      <c r="J19" s="170">
        <f>SUM(J15:J18)</f>
        <v>139292.5</v>
      </c>
      <c r="K19" s="170">
        <f>SUM(K15:K18)</f>
        <v>141332.125</v>
      </c>
      <c r="L19" s="170">
        <f>SUM(L15:L18)</f>
        <v>143473.73125000001</v>
      </c>
      <c r="M19" s="170">
        <f>SUM(M15:M18)</f>
        <v>145722.4178125</v>
      </c>
    </row>
    <row r="20" spans="1:14">
      <c r="A20" s="165" t="s">
        <v>88</v>
      </c>
      <c r="B20" s="146"/>
      <c r="C20" s="135"/>
      <c r="D20" s="135"/>
      <c r="E20" s="135"/>
      <c r="F20" s="135"/>
      <c r="G20" s="135"/>
      <c r="H20" s="135"/>
      <c r="I20" s="135"/>
      <c r="J20" s="135"/>
      <c r="K20" s="135"/>
      <c r="L20" s="135"/>
      <c r="M20" s="135"/>
    </row>
    <row r="21" spans="1:14">
      <c r="A21" s="175"/>
      <c r="B21" s="169" t="s">
        <v>89</v>
      </c>
      <c r="C21" s="159">
        <v>0</v>
      </c>
      <c r="D21" s="159">
        <v>0</v>
      </c>
      <c r="E21" s="156">
        <v>30000</v>
      </c>
      <c r="F21" s="159">
        <v>0</v>
      </c>
      <c r="G21" s="152">
        <v>0</v>
      </c>
      <c r="H21" s="152">
        <v>0</v>
      </c>
      <c r="I21" s="152">
        <v>0</v>
      </c>
      <c r="J21" s="152">
        <v>0</v>
      </c>
      <c r="K21" s="152">
        <v>0</v>
      </c>
      <c r="L21" s="152">
        <v>0</v>
      </c>
      <c r="M21" s="152">
        <v>0</v>
      </c>
    </row>
    <row r="22" spans="1:14">
      <c r="B22" s="169" t="s">
        <v>90</v>
      </c>
      <c r="C22" s="159">
        <v>0</v>
      </c>
      <c r="D22" s="159">
        <v>0</v>
      </c>
      <c r="E22" s="174">
        <v>350000</v>
      </c>
      <c r="F22" s="159">
        <v>0</v>
      </c>
      <c r="G22" s="152">
        <v>0</v>
      </c>
      <c r="H22" s="152">
        <v>0</v>
      </c>
      <c r="I22" s="152">
        <v>0</v>
      </c>
      <c r="J22" s="152">
        <v>0</v>
      </c>
      <c r="K22" s="152">
        <v>0</v>
      </c>
      <c r="L22" s="152">
        <v>0</v>
      </c>
      <c r="M22" s="152">
        <v>0</v>
      </c>
    </row>
    <row r="23" spans="1:14">
      <c r="B23" s="169" t="s">
        <v>91</v>
      </c>
      <c r="C23" s="159">
        <v>0</v>
      </c>
      <c r="D23" s="159">
        <v>0</v>
      </c>
      <c r="E23" s="174">
        <v>75000</v>
      </c>
      <c r="F23" s="159">
        <v>0</v>
      </c>
      <c r="G23" s="152">
        <v>0</v>
      </c>
      <c r="H23" s="152">
        <v>0</v>
      </c>
      <c r="I23" s="152">
        <v>0</v>
      </c>
      <c r="J23" s="152">
        <v>0</v>
      </c>
      <c r="K23" s="152">
        <v>0</v>
      </c>
      <c r="L23" s="152">
        <v>0</v>
      </c>
      <c r="M23" s="152">
        <v>0</v>
      </c>
    </row>
    <row r="24" spans="1:14">
      <c r="B24" s="169" t="s">
        <v>92</v>
      </c>
      <c r="C24" s="159">
        <v>0</v>
      </c>
      <c r="D24" s="159">
        <v>0</v>
      </c>
      <c r="E24" s="174">
        <v>72000</v>
      </c>
      <c r="F24" s="159">
        <v>0</v>
      </c>
      <c r="G24" s="152">
        <v>0</v>
      </c>
      <c r="H24" s="152">
        <v>0</v>
      </c>
      <c r="I24" s="152">
        <v>0</v>
      </c>
      <c r="J24" s="152">
        <v>0</v>
      </c>
      <c r="K24" s="152">
        <v>0</v>
      </c>
      <c r="L24" s="152">
        <v>0</v>
      </c>
      <c r="M24" s="152">
        <v>0</v>
      </c>
    </row>
    <row r="25" spans="1:14">
      <c r="B25" s="169" t="s">
        <v>93</v>
      </c>
      <c r="C25" s="159">
        <v>0</v>
      </c>
      <c r="D25" s="159">
        <v>0</v>
      </c>
      <c r="E25" s="159">
        <v>0</v>
      </c>
      <c r="F25" s="174">
        <v>22000</v>
      </c>
      <c r="G25" s="152">
        <v>0</v>
      </c>
      <c r="H25" s="152">
        <v>0</v>
      </c>
      <c r="I25" s="152">
        <v>0</v>
      </c>
      <c r="J25" s="152">
        <v>0</v>
      </c>
      <c r="K25" s="152">
        <v>0</v>
      </c>
      <c r="L25" s="152">
        <v>0</v>
      </c>
      <c r="M25" s="152">
        <v>0</v>
      </c>
    </row>
    <row r="26" spans="1:14">
      <c r="B26" s="169" t="s">
        <v>94</v>
      </c>
      <c r="C26" s="162">
        <v>0</v>
      </c>
      <c r="D26" s="162">
        <v>0</v>
      </c>
      <c r="E26" s="162">
        <v>0</v>
      </c>
      <c r="F26" s="162">
        <v>0</v>
      </c>
      <c r="G26" s="154">
        <v>0</v>
      </c>
      <c r="H26" s="152">
        <v>104000</v>
      </c>
      <c r="I26" s="152">
        <v>104000</v>
      </c>
      <c r="J26" s="152">
        <v>104000</v>
      </c>
      <c r="K26" s="152">
        <v>104000</v>
      </c>
      <c r="L26" s="152">
        <v>104000</v>
      </c>
      <c r="M26" s="152">
        <v>104000</v>
      </c>
    </row>
    <row r="27" spans="1:14">
      <c r="B27" s="169" t="s">
        <v>95</v>
      </c>
      <c r="C27" s="159">
        <v>0</v>
      </c>
      <c r="D27" s="159">
        <v>0</v>
      </c>
      <c r="E27" s="159">
        <v>0</v>
      </c>
      <c r="F27" s="159">
        <v>0</v>
      </c>
      <c r="G27" s="162">
        <v>0</v>
      </c>
      <c r="H27" s="159">
        <v>7500</v>
      </c>
      <c r="I27" s="159">
        <v>0</v>
      </c>
      <c r="J27" s="159">
        <v>0</v>
      </c>
      <c r="K27" s="159">
        <v>0</v>
      </c>
      <c r="L27" s="159">
        <v>0</v>
      </c>
      <c r="M27" s="159">
        <v>0</v>
      </c>
    </row>
    <row r="28" spans="1:14">
      <c r="B28" s="173" t="s">
        <v>96</v>
      </c>
      <c r="C28" s="159">
        <v>0</v>
      </c>
      <c r="D28" s="159">
        <v>0</v>
      </c>
      <c r="E28" s="152">
        <v>0</v>
      </c>
      <c r="F28" s="156">
        <v>79984</v>
      </c>
      <c r="G28" s="152">
        <v>0</v>
      </c>
      <c r="H28" s="152">
        <v>0</v>
      </c>
      <c r="I28" s="152">
        <v>0</v>
      </c>
      <c r="J28" s="152">
        <v>0</v>
      </c>
      <c r="K28" s="152">
        <v>0</v>
      </c>
      <c r="L28" s="152">
        <v>0</v>
      </c>
      <c r="M28" s="152">
        <v>0</v>
      </c>
    </row>
    <row r="29" spans="1:14">
      <c r="B29" s="173" t="s">
        <v>97</v>
      </c>
      <c r="C29" s="159">
        <v>0</v>
      </c>
      <c r="D29" s="159">
        <v>0</v>
      </c>
      <c r="E29" s="152">
        <v>0</v>
      </c>
      <c r="F29" s="156">
        <v>8000</v>
      </c>
      <c r="G29" s="152">
        <v>0</v>
      </c>
      <c r="H29" s="152">
        <v>0</v>
      </c>
      <c r="I29" s="152">
        <v>0</v>
      </c>
      <c r="J29" s="152">
        <v>0</v>
      </c>
      <c r="K29" s="152">
        <v>0</v>
      </c>
      <c r="L29" s="152">
        <v>0</v>
      </c>
      <c r="M29" s="152">
        <v>0</v>
      </c>
    </row>
    <row r="30" spans="1:14">
      <c r="B30" s="169" t="s">
        <v>98</v>
      </c>
      <c r="C30" s="159">
        <v>0</v>
      </c>
      <c r="D30" s="159">
        <v>0</v>
      </c>
      <c r="E30" s="159">
        <v>0</v>
      </c>
      <c r="F30" s="159">
        <v>0</v>
      </c>
      <c r="G30" s="174">
        <v>35000</v>
      </c>
      <c r="H30" s="159">
        <v>35000</v>
      </c>
      <c r="I30" s="159">
        <v>35000</v>
      </c>
      <c r="J30" s="159">
        <v>0</v>
      </c>
      <c r="K30" s="159">
        <v>0</v>
      </c>
      <c r="L30" s="159">
        <v>0</v>
      </c>
      <c r="M30" s="159">
        <v>0</v>
      </c>
    </row>
    <row r="31" spans="1:14">
      <c r="B31" s="172" t="s">
        <v>99</v>
      </c>
      <c r="C31" s="162">
        <v>0</v>
      </c>
      <c r="D31" s="162">
        <v>0</v>
      </c>
      <c r="E31" s="154">
        <v>0</v>
      </c>
      <c r="F31" s="154">
        <v>0</v>
      </c>
      <c r="G31" s="154">
        <v>0</v>
      </c>
      <c r="H31" s="154">
        <v>0</v>
      </c>
      <c r="I31" s="152">
        <v>100000</v>
      </c>
      <c r="J31" s="152">
        <v>0</v>
      </c>
      <c r="K31" s="152">
        <v>0</v>
      </c>
      <c r="L31" s="152">
        <v>0</v>
      </c>
      <c r="M31" s="152">
        <v>0</v>
      </c>
    </row>
    <row r="32" spans="1:14">
      <c r="A32" s="140"/>
      <c r="B32" s="172" t="s">
        <v>100</v>
      </c>
      <c r="C32" s="162">
        <v>0</v>
      </c>
      <c r="D32" s="162">
        <v>0</v>
      </c>
      <c r="E32" s="154">
        <v>0</v>
      </c>
      <c r="F32" s="154">
        <v>0</v>
      </c>
      <c r="G32" s="154">
        <v>0</v>
      </c>
      <c r="H32" s="154">
        <v>0</v>
      </c>
      <c r="I32" s="152">
        <v>300000</v>
      </c>
      <c r="J32" s="152">
        <v>0</v>
      </c>
      <c r="K32" s="152">
        <v>0</v>
      </c>
      <c r="L32" s="152">
        <v>0</v>
      </c>
      <c r="M32" s="152">
        <v>0</v>
      </c>
    </row>
    <row r="33" spans="1:13">
      <c r="A33" s="140"/>
      <c r="B33" s="169" t="s">
        <v>101</v>
      </c>
      <c r="C33" s="159">
        <v>0</v>
      </c>
      <c r="D33" s="159">
        <v>0</v>
      </c>
      <c r="E33" s="152">
        <v>0</v>
      </c>
      <c r="F33" s="159">
        <v>0</v>
      </c>
      <c r="G33" s="154">
        <v>0</v>
      </c>
      <c r="H33" s="152">
        <v>0</v>
      </c>
      <c r="I33" s="152">
        <v>100000</v>
      </c>
      <c r="J33" s="152">
        <v>0</v>
      </c>
      <c r="K33" s="152">
        <v>0</v>
      </c>
      <c r="L33" s="152">
        <v>0</v>
      </c>
      <c r="M33" s="152">
        <v>0</v>
      </c>
    </row>
    <row r="34" spans="1:13">
      <c r="B34" s="160" t="s">
        <v>102</v>
      </c>
      <c r="C34" s="159">
        <v>0</v>
      </c>
      <c r="D34" s="159">
        <v>0</v>
      </c>
      <c r="E34" s="159">
        <v>0</v>
      </c>
      <c r="F34" s="159">
        <v>0</v>
      </c>
      <c r="G34" s="159">
        <v>0</v>
      </c>
      <c r="H34" s="159">
        <v>75000</v>
      </c>
      <c r="I34" s="159">
        <v>0</v>
      </c>
      <c r="J34" s="159">
        <v>0</v>
      </c>
      <c r="K34" s="159">
        <v>0</v>
      </c>
      <c r="L34" s="159">
        <v>0</v>
      </c>
      <c r="M34" s="159">
        <v>0</v>
      </c>
    </row>
    <row r="35" spans="1:13">
      <c r="A35" s="140"/>
      <c r="B35" s="169" t="s">
        <v>103</v>
      </c>
      <c r="C35" s="159">
        <v>0</v>
      </c>
      <c r="D35" s="159">
        <v>0</v>
      </c>
      <c r="E35" s="152">
        <v>0</v>
      </c>
      <c r="F35" s="159">
        <v>0</v>
      </c>
      <c r="G35" s="152">
        <v>0</v>
      </c>
      <c r="H35" s="152">
        <v>0</v>
      </c>
      <c r="I35" s="152">
        <v>0</v>
      </c>
      <c r="J35" s="152">
        <v>500000</v>
      </c>
      <c r="K35" s="152">
        <v>0</v>
      </c>
      <c r="L35" s="152">
        <v>0</v>
      </c>
      <c r="M35" s="152">
        <v>0</v>
      </c>
    </row>
    <row r="36" spans="1:13">
      <c r="A36" s="140"/>
      <c r="B36" s="169" t="s">
        <v>104</v>
      </c>
      <c r="C36" s="159">
        <v>0</v>
      </c>
      <c r="D36" s="159">
        <v>0</v>
      </c>
      <c r="E36" s="152">
        <v>0</v>
      </c>
      <c r="F36" s="159">
        <v>0</v>
      </c>
      <c r="G36" s="152">
        <v>0</v>
      </c>
      <c r="H36" s="154">
        <v>0</v>
      </c>
      <c r="I36" s="152">
        <v>50000</v>
      </c>
      <c r="J36" s="152">
        <v>0</v>
      </c>
      <c r="K36" s="152">
        <v>0</v>
      </c>
      <c r="L36" s="152">
        <v>0</v>
      </c>
      <c r="M36" s="152">
        <v>0</v>
      </c>
    </row>
    <row r="37" spans="1:13">
      <c r="B37" s="169" t="s">
        <v>105</v>
      </c>
      <c r="C37" s="159">
        <v>0</v>
      </c>
      <c r="D37" s="159">
        <v>0</v>
      </c>
      <c r="E37" s="152">
        <v>0</v>
      </c>
      <c r="F37" s="159">
        <v>0</v>
      </c>
      <c r="G37" s="152">
        <v>0</v>
      </c>
      <c r="H37" s="152">
        <v>0</v>
      </c>
      <c r="I37" s="152">
        <v>300000</v>
      </c>
      <c r="J37" s="152">
        <v>0</v>
      </c>
      <c r="K37" s="152">
        <v>0</v>
      </c>
      <c r="L37" s="152">
        <v>0</v>
      </c>
      <c r="M37" s="152">
        <v>0</v>
      </c>
    </row>
    <row r="38" spans="1:13">
      <c r="B38" s="169" t="s">
        <v>106</v>
      </c>
      <c r="C38" s="159">
        <v>0</v>
      </c>
      <c r="D38" s="159">
        <v>0</v>
      </c>
      <c r="E38" s="159">
        <v>0</v>
      </c>
      <c r="F38" s="159">
        <v>0</v>
      </c>
      <c r="G38" s="159">
        <v>0</v>
      </c>
      <c r="H38" s="159">
        <v>0</v>
      </c>
      <c r="I38" s="159">
        <v>0</v>
      </c>
      <c r="J38" s="159">
        <v>0</v>
      </c>
      <c r="K38" s="152">
        <v>2500000</v>
      </c>
      <c r="L38" s="159">
        <v>0</v>
      </c>
      <c r="M38" s="159">
        <v>0</v>
      </c>
    </row>
    <row r="39" spans="1:13">
      <c r="B39" s="169" t="s">
        <v>107</v>
      </c>
      <c r="C39" s="159">
        <v>0</v>
      </c>
      <c r="D39" s="159">
        <v>0</v>
      </c>
      <c r="E39" s="159">
        <v>0</v>
      </c>
      <c r="F39" s="159">
        <v>0</v>
      </c>
      <c r="G39" s="159">
        <v>0</v>
      </c>
      <c r="H39" s="159">
        <v>0</v>
      </c>
      <c r="I39" s="159">
        <v>0</v>
      </c>
      <c r="J39" s="159">
        <v>0</v>
      </c>
      <c r="K39" s="159">
        <v>0</v>
      </c>
      <c r="L39" s="152">
        <v>950000</v>
      </c>
      <c r="M39" s="159">
        <v>0</v>
      </c>
    </row>
    <row r="40" spans="1:13">
      <c r="B40" s="169" t="s">
        <v>108</v>
      </c>
      <c r="C40" s="159">
        <v>0</v>
      </c>
      <c r="D40" s="159">
        <v>0</v>
      </c>
      <c r="E40" s="159">
        <v>0</v>
      </c>
      <c r="F40" s="159">
        <v>0</v>
      </c>
      <c r="G40" s="159">
        <v>0</v>
      </c>
      <c r="H40" s="159">
        <v>0</v>
      </c>
      <c r="I40" s="159">
        <v>0</v>
      </c>
      <c r="J40" s="159">
        <v>0</v>
      </c>
      <c r="K40" s="159"/>
      <c r="L40" s="159">
        <v>0</v>
      </c>
      <c r="M40" s="152">
        <v>220000</v>
      </c>
    </row>
    <row r="41" spans="1:13" ht="35.65" customHeight="1">
      <c r="B41" s="169" t="s">
        <v>109</v>
      </c>
      <c r="C41" s="159">
        <v>0</v>
      </c>
      <c r="D41" s="159">
        <v>0</v>
      </c>
      <c r="E41" s="152">
        <v>0</v>
      </c>
      <c r="F41" s="159">
        <v>0</v>
      </c>
      <c r="G41" s="152">
        <v>0</v>
      </c>
      <c r="H41" s="152">
        <v>0</v>
      </c>
      <c r="I41" s="171">
        <v>0</v>
      </c>
      <c r="J41" s="171">
        <v>0</v>
      </c>
      <c r="K41" s="171">
        <v>0</v>
      </c>
      <c r="L41" s="171">
        <v>0</v>
      </c>
      <c r="M41" s="171">
        <v>350000</v>
      </c>
    </row>
    <row r="42" spans="1:13">
      <c r="A42" s="140"/>
      <c r="B42" s="167" t="s">
        <v>110</v>
      </c>
      <c r="C42" s="170">
        <f>SUM(C28:C32)</f>
        <v>0</v>
      </c>
      <c r="D42" s="170">
        <f>SUM(D28:D32)</f>
        <v>0</v>
      </c>
      <c r="E42" s="170">
        <f t="shared" ref="E42:M42" si="0">SUM(E21:E41)</f>
        <v>527000</v>
      </c>
      <c r="F42" s="170">
        <f t="shared" si="0"/>
        <v>109984</v>
      </c>
      <c r="G42" s="170">
        <f t="shared" si="0"/>
        <v>35000</v>
      </c>
      <c r="H42" s="170">
        <f t="shared" si="0"/>
        <v>221500</v>
      </c>
      <c r="I42" s="170">
        <f t="shared" si="0"/>
        <v>989000</v>
      </c>
      <c r="J42" s="170">
        <f t="shared" si="0"/>
        <v>604000</v>
      </c>
      <c r="K42" s="170">
        <f t="shared" si="0"/>
        <v>2604000</v>
      </c>
      <c r="L42" s="170">
        <f t="shared" si="0"/>
        <v>1054000</v>
      </c>
      <c r="M42" s="170">
        <f t="shared" si="0"/>
        <v>674000</v>
      </c>
    </row>
    <row r="43" spans="1:13" ht="35.65" customHeight="1">
      <c r="A43" s="137" t="s">
        <v>111</v>
      </c>
      <c r="B43" s="146"/>
      <c r="C43" s="135"/>
      <c r="D43" s="135"/>
      <c r="E43" s="135"/>
      <c r="F43" s="135"/>
      <c r="G43" s="135"/>
      <c r="H43" s="135"/>
      <c r="I43" s="135"/>
      <c r="J43" s="135"/>
      <c r="K43" s="135"/>
      <c r="L43" s="135"/>
      <c r="M43" s="135"/>
    </row>
    <row r="44" spans="1:13" ht="35.65" customHeight="1">
      <c r="A44" s="140"/>
      <c r="B44" s="169" t="s">
        <v>112</v>
      </c>
      <c r="C44" s="152">
        <v>0</v>
      </c>
      <c r="D44" s="152">
        <v>0</v>
      </c>
      <c r="E44" s="152">
        <v>0</v>
      </c>
      <c r="F44" s="152">
        <v>0</v>
      </c>
      <c r="G44" s="162">
        <v>0</v>
      </c>
      <c r="H44" s="159">
        <v>40000</v>
      </c>
      <c r="I44" s="159">
        <v>0</v>
      </c>
      <c r="J44" s="152">
        <v>0</v>
      </c>
      <c r="K44" s="159">
        <v>0</v>
      </c>
      <c r="L44" s="152">
        <v>0</v>
      </c>
      <c r="M44" s="152">
        <v>0</v>
      </c>
    </row>
    <row r="45" spans="1:13">
      <c r="A45" s="140"/>
      <c r="B45" s="169" t="s">
        <v>113</v>
      </c>
      <c r="C45" s="152">
        <v>0</v>
      </c>
      <c r="D45" s="152">
        <v>0</v>
      </c>
      <c r="E45" s="152">
        <v>0</v>
      </c>
      <c r="F45" s="152">
        <v>0</v>
      </c>
      <c r="G45" s="159">
        <v>0</v>
      </c>
      <c r="H45" s="159">
        <v>600000</v>
      </c>
      <c r="I45" s="159">
        <v>0</v>
      </c>
      <c r="J45" s="159">
        <v>0</v>
      </c>
      <c r="K45" s="159">
        <v>0</v>
      </c>
      <c r="L45" s="152">
        <v>0</v>
      </c>
      <c r="M45" s="152">
        <v>0</v>
      </c>
    </row>
    <row r="46" spans="1:13">
      <c r="B46" s="169" t="s">
        <v>114</v>
      </c>
      <c r="C46" s="168">
        <v>0</v>
      </c>
      <c r="D46" s="168">
        <v>0</v>
      </c>
      <c r="E46" s="168">
        <v>0</v>
      </c>
      <c r="F46" s="168">
        <v>0</v>
      </c>
      <c r="G46" s="159">
        <v>0</v>
      </c>
      <c r="H46" s="162">
        <v>0</v>
      </c>
      <c r="I46" s="159">
        <v>50000</v>
      </c>
      <c r="J46" s="159">
        <v>0</v>
      </c>
      <c r="K46" s="159">
        <v>0</v>
      </c>
      <c r="L46" s="152">
        <v>0</v>
      </c>
      <c r="M46" s="152">
        <v>0</v>
      </c>
    </row>
    <row r="47" spans="1:13">
      <c r="B47" s="169" t="s">
        <v>115</v>
      </c>
      <c r="C47" s="168">
        <v>0</v>
      </c>
      <c r="D47" s="168">
        <v>0</v>
      </c>
      <c r="E47" s="168">
        <v>0</v>
      </c>
      <c r="F47" s="168">
        <v>0</v>
      </c>
      <c r="G47" s="159">
        <v>0</v>
      </c>
      <c r="H47" s="159">
        <v>0</v>
      </c>
      <c r="I47" s="159">
        <v>500000</v>
      </c>
      <c r="J47" s="159">
        <v>0</v>
      </c>
      <c r="K47" s="159">
        <v>0</v>
      </c>
      <c r="L47" s="152">
        <v>0</v>
      </c>
      <c r="M47" s="152">
        <v>0</v>
      </c>
    </row>
    <row r="48" spans="1:13" ht="47.25" customHeight="1">
      <c r="B48" s="169" t="s">
        <v>116</v>
      </c>
      <c r="C48" s="168">
        <v>0</v>
      </c>
      <c r="D48" s="168">
        <v>0</v>
      </c>
      <c r="E48" s="168">
        <v>0</v>
      </c>
      <c r="F48" s="168">
        <v>0</v>
      </c>
      <c r="G48" s="159">
        <v>0</v>
      </c>
      <c r="H48" s="159">
        <v>0</v>
      </c>
      <c r="I48" s="159">
        <v>0</v>
      </c>
      <c r="J48" s="159">
        <v>50000</v>
      </c>
      <c r="K48" s="159">
        <v>0</v>
      </c>
      <c r="L48" s="152">
        <v>0</v>
      </c>
      <c r="M48" s="152">
        <v>0</v>
      </c>
    </row>
    <row r="49" spans="1:13">
      <c r="B49" s="169" t="s">
        <v>117</v>
      </c>
      <c r="C49" s="168">
        <v>0</v>
      </c>
      <c r="D49" s="168">
        <v>0</v>
      </c>
      <c r="E49" s="168">
        <v>0</v>
      </c>
      <c r="F49" s="168">
        <v>0</v>
      </c>
      <c r="G49" s="159">
        <v>0</v>
      </c>
      <c r="H49" s="159">
        <v>0</v>
      </c>
      <c r="I49" s="159">
        <v>0</v>
      </c>
      <c r="J49" s="159">
        <v>100000</v>
      </c>
      <c r="K49" s="159">
        <v>0</v>
      </c>
      <c r="L49" s="152">
        <v>0</v>
      </c>
      <c r="M49" s="152">
        <v>0</v>
      </c>
    </row>
    <row r="50" spans="1:13" ht="35.65" customHeight="1">
      <c r="B50" s="169" t="s">
        <v>118</v>
      </c>
      <c r="C50" s="168">
        <v>0</v>
      </c>
      <c r="D50" s="168">
        <v>0</v>
      </c>
      <c r="E50" s="168">
        <v>0</v>
      </c>
      <c r="F50" s="168">
        <v>0</v>
      </c>
      <c r="G50" s="159">
        <v>0</v>
      </c>
      <c r="H50" s="159">
        <v>0</v>
      </c>
      <c r="I50" s="159">
        <v>0</v>
      </c>
      <c r="J50" s="159">
        <v>0</v>
      </c>
      <c r="K50" s="159">
        <v>250000</v>
      </c>
      <c r="L50" s="152"/>
      <c r="M50" s="152">
        <v>0</v>
      </c>
    </row>
    <row r="51" spans="1:13" ht="35.65" customHeight="1">
      <c r="B51" s="169" t="s">
        <v>73</v>
      </c>
      <c r="C51" s="168">
        <v>0</v>
      </c>
      <c r="D51" s="168">
        <v>0</v>
      </c>
      <c r="E51" s="168">
        <v>0</v>
      </c>
      <c r="F51" s="168">
        <v>0</v>
      </c>
      <c r="G51" s="168">
        <v>0</v>
      </c>
      <c r="H51" s="162">
        <v>0</v>
      </c>
      <c r="I51" s="159">
        <v>30000</v>
      </c>
      <c r="J51" s="168">
        <v>0</v>
      </c>
      <c r="K51" s="168">
        <v>0</v>
      </c>
      <c r="L51" s="168">
        <v>0</v>
      </c>
      <c r="M51" s="168">
        <v>0</v>
      </c>
    </row>
    <row r="52" spans="1:13">
      <c r="B52" s="169" t="s">
        <v>119</v>
      </c>
      <c r="C52" s="168">
        <v>0</v>
      </c>
      <c r="D52" s="168">
        <v>0</v>
      </c>
      <c r="E52" s="168">
        <v>0</v>
      </c>
      <c r="F52" s="168">
        <v>0</v>
      </c>
      <c r="G52" s="159">
        <v>0</v>
      </c>
      <c r="H52" s="159">
        <v>0</v>
      </c>
      <c r="I52" s="159">
        <v>0</v>
      </c>
      <c r="J52" s="159">
        <v>0</v>
      </c>
      <c r="K52" s="159">
        <v>0</v>
      </c>
      <c r="L52" s="152">
        <v>150000</v>
      </c>
      <c r="M52" s="152">
        <v>0</v>
      </c>
    </row>
    <row r="53" spans="1:13">
      <c r="B53" s="169" t="s">
        <v>120</v>
      </c>
      <c r="C53" s="168">
        <v>0</v>
      </c>
      <c r="D53" s="168">
        <v>0</v>
      </c>
      <c r="E53" s="168">
        <v>0</v>
      </c>
      <c r="F53" s="168">
        <v>0</v>
      </c>
      <c r="G53" s="159">
        <v>0</v>
      </c>
      <c r="H53" s="159">
        <v>0</v>
      </c>
      <c r="I53" s="159">
        <v>0</v>
      </c>
      <c r="J53" s="159">
        <v>0</v>
      </c>
      <c r="K53" s="159">
        <v>0</v>
      </c>
      <c r="L53" s="152">
        <v>0</v>
      </c>
      <c r="M53" s="152">
        <v>100000</v>
      </c>
    </row>
    <row r="54" spans="1:13" ht="35.65" customHeight="1">
      <c r="A54" s="140"/>
      <c r="B54" s="167" t="s">
        <v>121</v>
      </c>
      <c r="C54" s="152">
        <f>SUM(C44:C53)</f>
        <v>0</v>
      </c>
      <c r="D54" s="152">
        <f>SUM(D44:D53)</f>
        <v>0</v>
      </c>
      <c r="E54" s="152">
        <f>SUM(E44:E53)</f>
        <v>0</v>
      </c>
      <c r="F54" s="152">
        <f>SUM(F44:F53)</f>
        <v>0</v>
      </c>
      <c r="G54" s="152">
        <f>SUM(G44:G53)</f>
        <v>0</v>
      </c>
      <c r="H54" s="152">
        <f>SUM(H44:H53)</f>
        <v>640000</v>
      </c>
      <c r="I54" s="152">
        <f>SUM(I44:I53)</f>
        <v>580000</v>
      </c>
      <c r="J54" s="152">
        <f>SUM(J44:J53)</f>
        <v>150000</v>
      </c>
      <c r="K54" s="152">
        <f>SUM(K44:K53)</f>
        <v>250000</v>
      </c>
      <c r="L54" s="152">
        <f>SUM(L44:L53)</f>
        <v>150000</v>
      </c>
      <c r="M54" s="152">
        <f>SUM(M44:M53)</f>
        <v>100000</v>
      </c>
    </row>
    <row r="55" spans="1:13">
      <c r="A55" s="140"/>
      <c r="B55" s="166" t="s">
        <v>122</v>
      </c>
      <c r="C55" s="150">
        <f t="shared" ref="C55:M55" si="1">+C19+C42+C54</f>
        <v>0</v>
      </c>
      <c r="D55" s="150">
        <f t="shared" si="1"/>
        <v>0</v>
      </c>
      <c r="E55" s="150">
        <f t="shared" si="1"/>
        <v>588052.02</v>
      </c>
      <c r="F55" s="150">
        <f t="shared" si="1"/>
        <v>109984</v>
      </c>
      <c r="G55" s="150">
        <f t="shared" si="1"/>
        <v>35000</v>
      </c>
      <c r="H55" s="150">
        <f t="shared" si="1"/>
        <v>1162000</v>
      </c>
      <c r="I55" s="150">
        <f t="shared" si="1"/>
        <v>1791350</v>
      </c>
      <c r="J55" s="150">
        <f t="shared" si="1"/>
        <v>893292.5</v>
      </c>
      <c r="K55" s="150">
        <f t="shared" si="1"/>
        <v>2995332.125</v>
      </c>
      <c r="L55" s="150">
        <f t="shared" si="1"/>
        <v>1347473.73125</v>
      </c>
      <c r="M55" s="150">
        <f t="shared" si="1"/>
        <v>919722.41781250003</v>
      </c>
    </row>
    <row r="56" spans="1:13" ht="14.25" customHeight="1">
      <c r="A56" s="140"/>
      <c r="B56" s="149"/>
      <c r="C56" s="135"/>
      <c r="D56" s="135"/>
      <c r="E56" s="135"/>
      <c r="F56" s="135"/>
      <c r="G56" s="135"/>
      <c r="H56" s="135"/>
      <c r="I56" s="135"/>
      <c r="J56" s="135"/>
      <c r="K56" s="135"/>
      <c r="L56" s="135"/>
      <c r="M56" s="135"/>
    </row>
    <row r="57" spans="1:13">
      <c r="A57" s="165" t="s">
        <v>123</v>
      </c>
      <c r="B57" s="146"/>
      <c r="C57" s="135"/>
      <c r="D57" s="135"/>
      <c r="E57" s="135"/>
      <c r="F57" s="135"/>
      <c r="G57" s="135"/>
      <c r="H57" s="135"/>
      <c r="I57" s="135"/>
      <c r="J57" s="135"/>
      <c r="K57" s="135"/>
      <c r="L57" s="135"/>
      <c r="M57" s="135"/>
    </row>
    <row r="58" spans="1:13" ht="24" customHeight="1">
      <c r="B58" s="161" t="s">
        <v>124</v>
      </c>
      <c r="C58" s="159">
        <v>0</v>
      </c>
      <c r="D58" s="159">
        <v>0</v>
      </c>
      <c r="E58" s="159">
        <v>0</v>
      </c>
      <c r="F58" s="159">
        <v>0</v>
      </c>
      <c r="G58" s="164">
        <v>0</v>
      </c>
      <c r="H58" s="152">
        <v>10000</v>
      </c>
      <c r="I58" s="152">
        <v>0</v>
      </c>
      <c r="J58" s="152">
        <v>0</v>
      </c>
      <c r="K58" s="152">
        <v>0</v>
      </c>
      <c r="L58" s="152">
        <v>0</v>
      </c>
      <c r="M58" s="152">
        <v>0</v>
      </c>
    </row>
    <row r="59" spans="1:13">
      <c r="B59" s="161" t="s">
        <v>125</v>
      </c>
      <c r="C59" s="159">
        <v>0</v>
      </c>
      <c r="D59" s="159">
        <v>0</v>
      </c>
      <c r="E59" s="159">
        <v>0</v>
      </c>
      <c r="F59" s="159">
        <v>0</v>
      </c>
      <c r="G59" s="201">
        <v>35000</v>
      </c>
      <c r="H59" s="152">
        <v>0</v>
      </c>
      <c r="I59" s="152">
        <v>0</v>
      </c>
      <c r="J59" s="152">
        <v>0</v>
      </c>
      <c r="K59" s="152">
        <v>0</v>
      </c>
      <c r="L59" s="152">
        <v>0</v>
      </c>
      <c r="M59" s="152">
        <v>0</v>
      </c>
    </row>
    <row r="60" spans="1:13" ht="35.65" customHeight="1">
      <c r="B60" s="161" t="s">
        <v>126</v>
      </c>
      <c r="C60" s="159">
        <v>0</v>
      </c>
      <c r="D60" s="159">
        <v>0</v>
      </c>
      <c r="E60" s="159">
        <v>0</v>
      </c>
      <c r="F60" s="159">
        <v>0</v>
      </c>
      <c r="G60" s="164">
        <v>0</v>
      </c>
      <c r="H60" s="152">
        <v>100000</v>
      </c>
      <c r="I60" s="152">
        <v>0</v>
      </c>
      <c r="J60" s="152">
        <v>0</v>
      </c>
      <c r="K60" s="152">
        <v>0</v>
      </c>
      <c r="L60" s="152">
        <v>0</v>
      </c>
      <c r="M60" s="152">
        <v>0</v>
      </c>
    </row>
    <row r="61" spans="1:13" ht="24" customHeight="1">
      <c r="B61" s="161" t="s">
        <v>127</v>
      </c>
      <c r="C61" s="159">
        <v>0</v>
      </c>
      <c r="D61" s="159">
        <v>0</v>
      </c>
      <c r="E61" s="159">
        <v>0</v>
      </c>
      <c r="F61" s="159">
        <v>0</v>
      </c>
      <c r="G61" s="163">
        <v>0</v>
      </c>
      <c r="H61" s="152">
        <v>0</v>
      </c>
      <c r="I61" s="152">
        <v>0</v>
      </c>
      <c r="J61" s="152">
        <v>0</v>
      </c>
      <c r="K61" s="152">
        <v>0</v>
      </c>
      <c r="L61" s="152">
        <v>0</v>
      </c>
      <c r="M61" s="152">
        <v>0</v>
      </c>
    </row>
    <row r="62" spans="1:13" ht="24" customHeight="1">
      <c r="B62" s="161" t="s">
        <v>128</v>
      </c>
      <c r="C62" s="159">
        <v>0</v>
      </c>
      <c r="D62" s="159">
        <v>0</v>
      </c>
      <c r="E62" s="159">
        <v>0</v>
      </c>
      <c r="F62" s="159">
        <v>0</v>
      </c>
      <c r="G62" s="164">
        <v>0</v>
      </c>
      <c r="H62" s="152">
        <v>70000</v>
      </c>
      <c r="I62" s="152">
        <v>0</v>
      </c>
      <c r="J62" s="152">
        <v>0</v>
      </c>
      <c r="K62" s="152">
        <v>0</v>
      </c>
      <c r="L62" s="152">
        <v>0</v>
      </c>
      <c r="M62" s="152">
        <v>0</v>
      </c>
    </row>
    <row r="63" spans="1:13" ht="24" customHeight="1">
      <c r="B63" s="161" t="s">
        <v>129</v>
      </c>
      <c r="C63" s="159">
        <v>0</v>
      </c>
      <c r="D63" s="159">
        <v>0</v>
      </c>
      <c r="E63" s="159">
        <v>0</v>
      </c>
      <c r="F63" s="159">
        <v>0</v>
      </c>
      <c r="G63" s="159">
        <v>0</v>
      </c>
      <c r="H63" s="163">
        <v>15000</v>
      </c>
      <c r="I63" s="152">
        <v>0</v>
      </c>
      <c r="J63" s="152">
        <v>0</v>
      </c>
      <c r="K63" s="152">
        <v>0</v>
      </c>
      <c r="L63" s="152">
        <v>0</v>
      </c>
      <c r="M63" s="152">
        <v>0</v>
      </c>
    </row>
    <row r="64" spans="1:13">
      <c r="B64" s="161" t="s">
        <v>130</v>
      </c>
      <c r="C64" s="159">
        <v>0</v>
      </c>
      <c r="D64" s="159">
        <v>0</v>
      </c>
      <c r="E64" s="159">
        <v>0</v>
      </c>
      <c r="F64" s="159">
        <v>0</v>
      </c>
      <c r="G64" s="159">
        <v>0</v>
      </c>
      <c r="H64" s="163">
        <v>3000000</v>
      </c>
      <c r="I64" s="152">
        <v>0</v>
      </c>
      <c r="J64" s="152">
        <v>0</v>
      </c>
      <c r="K64" s="152">
        <v>0</v>
      </c>
      <c r="L64" s="152">
        <v>0</v>
      </c>
      <c r="M64" s="152">
        <v>0</v>
      </c>
    </row>
    <row r="65" spans="1:13" ht="24.75">
      <c r="B65" s="161" t="s">
        <v>131</v>
      </c>
      <c r="C65" s="159">
        <v>0</v>
      </c>
      <c r="D65" s="159">
        <v>0</v>
      </c>
      <c r="E65" s="159">
        <v>0</v>
      </c>
      <c r="F65" s="159">
        <v>0</v>
      </c>
      <c r="G65" s="174">
        <v>21000</v>
      </c>
      <c r="H65" s="163">
        <v>0</v>
      </c>
      <c r="I65" s="152">
        <v>0</v>
      </c>
      <c r="J65" s="152">
        <v>0</v>
      </c>
      <c r="K65" s="152">
        <v>0</v>
      </c>
      <c r="L65" s="152">
        <v>0</v>
      </c>
      <c r="M65" s="152">
        <v>0</v>
      </c>
    </row>
    <row r="66" spans="1:13" ht="24.75">
      <c r="B66" s="161" t="s">
        <v>132</v>
      </c>
      <c r="C66" s="159">
        <v>0</v>
      </c>
      <c r="D66" s="159">
        <v>0</v>
      </c>
      <c r="E66" s="159">
        <v>0</v>
      </c>
      <c r="F66" s="159">
        <v>0</v>
      </c>
      <c r="G66" s="159">
        <v>0</v>
      </c>
      <c r="H66" s="159">
        <v>0</v>
      </c>
      <c r="I66" s="163">
        <v>20000</v>
      </c>
      <c r="J66" s="152">
        <v>0</v>
      </c>
      <c r="K66" s="152">
        <v>0</v>
      </c>
      <c r="L66" s="152">
        <v>0</v>
      </c>
      <c r="M66" s="152">
        <v>0</v>
      </c>
    </row>
    <row r="67" spans="1:13">
      <c r="B67" s="161" t="s">
        <v>133</v>
      </c>
      <c r="C67" s="159">
        <v>0</v>
      </c>
      <c r="D67" s="159">
        <v>0</v>
      </c>
      <c r="E67" s="159">
        <v>0</v>
      </c>
      <c r="F67" s="159">
        <v>0</v>
      </c>
      <c r="G67" s="159">
        <v>0</v>
      </c>
      <c r="H67" s="159">
        <v>0</v>
      </c>
      <c r="I67" s="163">
        <v>15000</v>
      </c>
      <c r="J67" s="152">
        <v>0</v>
      </c>
      <c r="K67" s="152">
        <v>0</v>
      </c>
      <c r="L67" s="152">
        <v>0</v>
      </c>
      <c r="M67" s="152">
        <v>0</v>
      </c>
    </row>
    <row r="68" spans="1:13" ht="24.75">
      <c r="B68" s="161" t="s">
        <v>134</v>
      </c>
      <c r="C68" s="159">
        <v>0</v>
      </c>
      <c r="D68" s="159">
        <v>0</v>
      </c>
      <c r="E68" s="159">
        <v>0</v>
      </c>
      <c r="F68" s="159">
        <v>0</v>
      </c>
      <c r="G68" s="159">
        <v>0</v>
      </c>
      <c r="H68" s="159">
        <v>0</v>
      </c>
      <c r="I68" s="163">
        <v>100000</v>
      </c>
      <c r="J68" s="152">
        <v>0</v>
      </c>
      <c r="K68" s="152">
        <v>0</v>
      </c>
      <c r="L68" s="152">
        <v>0</v>
      </c>
      <c r="M68" s="152">
        <v>0</v>
      </c>
    </row>
    <row r="69" spans="1:13">
      <c r="B69" s="161" t="s">
        <v>135</v>
      </c>
      <c r="C69" s="159">
        <v>0</v>
      </c>
      <c r="D69" s="159">
        <v>0</v>
      </c>
      <c r="E69" s="159">
        <v>0</v>
      </c>
      <c r="F69" s="159">
        <v>0</v>
      </c>
      <c r="G69" s="159">
        <v>0</v>
      </c>
      <c r="H69" s="159">
        <v>25000</v>
      </c>
      <c r="I69" s="159">
        <v>0</v>
      </c>
      <c r="J69" s="152">
        <v>0</v>
      </c>
      <c r="K69" s="152">
        <v>0</v>
      </c>
      <c r="L69" s="152">
        <v>0</v>
      </c>
      <c r="M69" s="152">
        <v>0</v>
      </c>
    </row>
    <row r="70" spans="1:13">
      <c r="B70" s="161" t="s">
        <v>136</v>
      </c>
      <c r="C70" s="159">
        <v>0</v>
      </c>
      <c r="D70" s="159">
        <v>0</v>
      </c>
      <c r="E70" s="159">
        <v>0</v>
      </c>
      <c r="F70" s="159">
        <v>0</v>
      </c>
      <c r="G70" s="159">
        <v>0</v>
      </c>
      <c r="H70" s="159">
        <v>0</v>
      </c>
      <c r="I70" s="163">
        <v>40000</v>
      </c>
      <c r="J70" s="152">
        <v>0</v>
      </c>
      <c r="K70" s="152">
        <v>0</v>
      </c>
      <c r="L70" s="152">
        <v>0</v>
      </c>
      <c r="M70" s="152">
        <v>0</v>
      </c>
    </row>
    <row r="71" spans="1:13" ht="24.75">
      <c r="B71" s="161" t="s">
        <v>137</v>
      </c>
      <c r="C71" s="159">
        <v>0</v>
      </c>
      <c r="D71" s="159">
        <v>0</v>
      </c>
      <c r="E71" s="159">
        <v>0</v>
      </c>
      <c r="F71" s="159">
        <v>0</v>
      </c>
      <c r="G71" s="159">
        <v>0</v>
      </c>
      <c r="H71" s="159">
        <v>0</v>
      </c>
      <c r="I71" s="163">
        <v>75000</v>
      </c>
      <c r="J71" s="152">
        <v>0</v>
      </c>
      <c r="K71" s="152">
        <v>0</v>
      </c>
      <c r="L71" s="152">
        <v>0</v>
      </c>
      <c r="M71" s="152">
        <v>0</v>
      </c>
    </row>
    <row r="72" spans="1:13" ht="24.75">
      <c r="B72" s="161" t="s">
        <v>138</v>
      </c>
      <c r="C72" s="159">
        <v>0</v>
      </c>
      <c r="D72" s="159">
        <v>0</v>
      </c>
      <c r="E72" s="159">
        <v>0</v>
      </c>
      <c r="F72" s="159">
        <v>0</v>
      </c>
      <c r="G72" s="159">
        <v>0</v>
      </c>
      <c r="H72" s="159">
        <v>0</v>
      </c>
      <c r="I72" s="163">
        <v>300000</v>
      </c>
      <c r="J72" s="152">
        <v>0</v>
      </c>
      <c r="K72" s="152">
        <v>0</v>
      </c>
      <c r="L72" s="152">
        <v>0</v>
      </c>
      <c r="M72" s="152">
        <v>0</v>
      </c>
    </row>
    <row r="73" spans="1:13">
      <c r="B73" s="161" t="s">
        <v>139</v>
      </c>
      <c r="C73" s="159">
        <v>0</v>
      </c>
      <c r="D73" s="159">
        <v>0</v>
      </c>
      <c r="E73" s="159">
        <v>0</v>
      </c>
      <c r="F73" s="159">
        <v>0</v>
      </c>
      <c r="G73" s="159">
        <v>0</v>
      </c>
      <c r="H73" s="159">
        <v>0</v>
      </c>
      <c r="I73" s="159">
        <v>0</v>
      </c>
      <c r="J73" s="163">
        <v>200000</v>
      </c>
      <c r="K73" s="152">
        <v>0</v>
      </c>
      <c r="L73" s="152">
        <v>0</v>
      </c>
      <c r="M73" s="152">
        <v>0</v>
      </c>
    </row>
    <row r="74" spans="1:13" ht="24.75">
      <c r="B74" s="161" t="s">
        <v>140</v>
      </c>
      <c r="C74" s="159">
        <v>0</v>
      </c>
      <c r="D74" s="159">
        <v>0</v>
      </c>
      <c r="E74" s="159">
        <v>0</v>
      </c>
      <c r="F74" s="159">
        <v>0</v>
      </c>
      <c r="G74" s="159">
        <v>0</v>
      </c>
      <c r="H74" s="159">
        <v>0</v>
      </c>
      <c r="I74" s="159">
        <v>0</v>
      </c>
      <c r="J74" s="163">
        <v>50000</v>
      </c>
      <c r="K74" s="152">
        <v>0</v>
      </c>
      <c r="L74" s="152">
        <v>0</v>
      </c>
      <c r="M74" s="152">
        <v>0</v>
      </c>
    </row>
    <row r="75" spans="1:13" ht="24.75">
      <c r="B75" s="161" t="s">
        <v>141</v>
      </c>
      <c r="C75" s="159">
        <v>0</v>
      </c>
      <c r="D75" s="159">
        <v>0</v>
      </c>
      <c r="E75" s="159">
        <v>0</v>
      </c>
      <c r="F75" s="159">
        <v>0</v>
      </c>
      <c r="G75" s="159">
        <v>0</v>
      </c>
      <c r="H75" s="159">
        <v>0</v>
      </c>
      <c r="I75" s="159">
        <v>0</v>
      </c>
      <c r="J75" s="163">
        <v>100000</v>
      </c>
      <c r="K75" s="152">
        <v>0</v>
      </c>
      <c r="L75" s="152">
        <v>0</v>
      </c>
      <c r="M75" s="152">
        <v>0</v>
      </c>
    </row>
    <row r="76" spans="1:13">
      <c r="B76" s="161" t="s">
        <v>142</v>
      </c>
      <c r="C76" s="159">
        <v>0</v>
      </c>
      <c r="D76" s="159">
        <v>0</v>
      </c>
      <c r="E76" s="159">
        <v>0</v>
      </c>
      <c r="F76" s="159">
        <v>0</v>
      </c>
      <c r="G76" s="162">
        <v>0</v>
      </c>
      <c r="H76" s="159">
        <v>13200</v>
      </c>
      <c r="I76" s="159">
        <v>0</v>
      </c>
      <c r="J76" s="159">
        <v>0</v>
      </c>
      <c r="K76" s="152">
        <v>0</v>
      </c>
      <c r="L76" s="152">
        <v>0</v>
      </c>
      <c r="M76" s="152">
        <v>0</v>
      </c>
    </row>
    <row r="77" spans="1:13">
      <c r="B77" s="161" t="s">
        <v>143</v>
      </c>
      <c r="C77" s="159">
        <v>0</v>
      </c>
      <c r="D77" s="159">
        <v>0</v>
      </c>
      <c r="E77" s="159">
        <v>0</v>
      </c>
      <c r="F77" s="159">
        <v>0</v>
      </c>
      <c r="G77" s="159">
        <v>0</v>
      </c>
      <c r="H77" s="159">
        <v>80000</v>
      </c>
      <c r="I77" s="159">
        <v>0</v>
      </c>
      <c r="J77" s="159">
        <v>0</v>
      </c>
      <c r="K77" s="152">
        <v>0</v>
      </c>
      <c r="L77" s="152">
        <v>0</v>
      </c>
      <c r="M77" s="152">
        <v>0</v>
      </c>
    </row>
    <row r="78" spans="1:13">
      <c r="A78" s="140"/>
      <c r="B78" s="151" t="s">
        <v>144</v>
      </c>
      <c r="C78" s="150">
        <f>SUM(C58:C77)</f>
        <v>0</v>
      </c>
      <c r="D78" s="150">
        <f>SUM(D58:D77)</f>
        <v>0</v>
      </c>
      <c r="E78" s="150">
        <f>SUM(E58:E77)</f>
        <v>0</v>
      </c>
      <c r="F78" s="150">
        <f>SUM(F58:F77)</f>
        <v>0</v>
      </c>
      <c r="G78" s="150">
        <f>SUM(G58:G77)</f>
        <v>56000</v>
      </c>
      <c r="H78" s="150">
        <f>SUM(H58:H77)</f>
        <v>3313200</v>
      </c>
      <c r="I78" s="150">
        <f>SUM(I58:I77)</f>
        <v>550000</v>
      </c>
      <c r="J78" s="150">
        <f>SUM(J58:J77)</f>
        <v>350000</v>
      </c>
      <c r="K78" s="150">
        <f>SUM(K58:K77)</f>
        <v>0</v>
      </c>
      <c r="L78" s="150">
        <f>SUM(L58:L77)</f>
        <v>0</v>
      </c>
      <c r="M78" s="150">
        <f>SUM(M58:M77)</f>
        <v>0</v>
      </c>
    </row>
    <row r="79" spans="1:13">
      <c r="A79" s="140"/>
      <c r="B79" s="149"/>
      <c r="C79" s="135"/>
      <c r="D79" s="135"/>
      <c r="E79" s="135"/>
      <c r="F79" s="135"/>
      <c r="G79" s="135"/>
      <c r="H79" s="135"/>
      <c r="I79" s="135"/>
      <c r="J79" s="135"/>
      <c r="K79" s="135"/>
      <c r="L79" s="135"/>
      <c r="M79" s="135"/>
    </row>
    <row r="80" spans="1:13">
      <c r="B80" s="160" t="s">
        <v>145</v>
      </c>
      <c r="C80" s="159">
        <v>0</v>
      </c>
      <c r="D80" s="159">
        <v>0</v>
      </c>
      <c r="E80" s="159">
        <v>0</v>
      </c>
      <c r="F80" s="159">
        <v>0</v>
      </c>
      <c r="G80" s="159">
        <v>0</v>
      </c>
      <c r="H80" s="159">
        <v>0</v>
      </c>
      <c r="I80" s="159">
        <v>250000</v>
      </c>
      <c r="J80" s="159">
        <v>0</v>
      </c>
      <c r="K80" s="159">
        <v>0</v>
      </c>
      <c r="L80" s="159">
        <v>0</v>
      </c>
      <c r="M80" s="159">
        <v>0</v>
      </c>
    </row>
    <row r="81" spans="1:13">
      <c r="B81" s="160" t="s">
        <v>146</v>
      </c>
      <c r="C81" s="159">
        <v>0</v>
      </c>
      <c r="D81" s="159">
        <v>0</v>
      </c>
      <c r="E81" s="159">
        <v>0</v>
      </c>
      <c r="F81" s="159">
        <v>0</v>
      </c>
      <c r="G81" s="159">
        <v>0</v>
      </c>
      <c r="H81" s="159">
        <v>0</v>
      </c>
      <c r="I81" s="152">
        <v>10000</v>
      </c>
      <c r="J81" s="159">
        <v>0</v>
      </c>
      <c r="K81" s="159">
        <v>0</v>
      </c>
      <c r="L81" s="159">
        <v>0</v>
      </c>
      <c r="M81" s="159">
        <v>0</v>
      </c>
    </row>
    <row r="82" spans="1:13">
      <c r="A82" s="140"/>
      <c r="B82" s="160" t="s">
        <v>147</v>
      </c>
      <c r="C82" s="159">
        <v>0</v>
      </c>
      <c r="D82" s="159">
        <v>0</v>
      </c>
      <c r="E82" s="159">
        <v>0</v>
      </c>
      <c r="F82" s="159">
        <v>0</v>
      </c>
      <c r="G82" s="159">
        <v>0</v>
      </c>
      <c r="H82" s="159">
        <v>0</v>
      </c>
      <c r="I82" s="152">
        <v>350000</v>
      </c>
      <c r="J82" s="159">
        <v>0</v>
      </c>
      <c r="K82" s="159">
        <v>0</v>
      </c>
      <c r="L82" s="159">
        <v>0</v>
      </c>
      <c r="M82" s="159">
        <v>0</v>
      </c>
    </row>
    <row r="83" spans="1:13">
      <c r="A83" s="140"/>
      <c r="B83" s="160" t="s">
        <v>148</v>
      </c>
      <c r="C83" s="159">
        <v>0</v>
      </c>
      <c r="D83" s="159">
        <v>0</v>
      </c>
      <c r="E83" s="159">
        <v>0</v>
      </c>
      <c r="F83" s="159">
        <v>0</v>
      </c>
      <c r="G83" s="159">
        <v>0</v>
      </c>
      <c r="H83" s="159">
        <v>285000</v>
      </c>
      <c r="I83" s="159">
        <v>0</v>
      </c>
      <c r="J83" s="159">
        <v>0</v>
      </c>
      <c r="K83" s="159">
        <v>340000</v>
      </c>
      <c r="L83" s="159">
        <v>0</v>
      </c>
      <c r="M83" s="159">
        <v>0</v>
      </c>
    </row>
    <row r="84" spans="1:13">
      <c r="A84" s="140"/>
      <c r="B84" s="146" t="s">
        <v>149</v>
      </c>
      <c r="C84" s="155">
        <v>0</v>
      </c>
      <c r="D84" s="155">
        <v>0</v>
      </c>
      <c r="E84" s="155">
        <v>0</v>
      </c>
      <c r="F84" s="158">
        <v>10000</v>
      </c>
      <c r="G84" s="159">
        <v>0</v>
      </c>
      <c r="H84" s="157">
        <v>0</v>
      </c>
      <c r="I84" s="157">
        <v>0</v>
      </c>
      <c r="J84" s="157">
        <v>0</v>
      </c>
      <c r="K84" s="157">
        <v>0</v>
      </c>
      <c r="L84" s="157">
        <v>0</v>
      </c>
      <c r="M84" s="157">
        <v>0</v>
      </c>
    </row>
    <row r="85" spans="1:13">
      <c r="A85" s="140"/>
      <c r="B85" s="146" t="s">
        <v>150</v>
      </c>
      <c r="C85" s="155">
        <v>0</v>
      </c>
      <c r="D85" s="155">
        <v>0</v>
      </c>
      <c r="E85" s="155">
        <v>0</v>
      </c>
      <c r="F85" s="154">
        <v>0</v>
      </c>
      <c r="G85" s="162">
        <v>0</v>
      </c>
      <c r="H85" s="152">
        <f>85600</f>
        <v>85600</v>
      </c>
      <c r="I85" s="152">
        <f>H85*1.07</f>
        <v>91592</v>
      </c>
      <c r="J85" s="152">
        <f>I85*1.07</f>
        <v>98003.44</v>
      </c>
      <c r="K85" s="152">
        <f>J85*1.07</f>
        <v>104863.6808</v>
      </c>
      <c r="L85" s="152">
        <v>0</v>
      </c>
      <c r="M85" s="152">
        <v>0</v>
      </c>
    </row>
    <row r="86" spans="1:13">
      <c r="A86" s="140"/>
      <c r="B86" s="146" t="s">
        <v>151</v>
      </c>
      <c r="C86" s="155">
        <v>0</v>
      </c>
      <c r="D86" s="155">
        <v>0</v>
      </c>
      <c r="E86" s="155">
        <v>0</v>
      </c>
      <c r="F86" s="154">
        <v>0</v>
      </c>
      <c r="G86" s="162">
        <v>0</v>
      </c>
      <c r="H86" s="152">
        <v>100000</v>
      </c>
      <c r="I86" s="152">
        <v>0</v>
      </c>
      <c r="J86" s="152">
        <v>0</v>
      </c>
      <c r="K86" s="152">
        <v>0</v>
      </c>
      <c r="L86" s="152">
        <v>0</v>
      </c>
      <c r="M86" s="152">
        <v>0</v>
      </c>
    </row>
    <row r="87" spans="1:13">
      <c r="A87" s="140"/>
      <c r="B87" s="146" t="s">
        <v>152</v>
      </c>
      <c r="C87" s="155">
        <v>0</v>
      </c>
      <c r="D87" s="155">
        <v>0</v>
      </c>
      <c r="E87" s="155">
        <v>0</v>
      </c>
      <c r="F87" s="156">
        <v>165000</v>
      </c>
      <c r="G87" s="159">
        <v>0</v>
      </c>
      <c r="H87" s="152">
        <v>0</v>
      </c>
      <c r="I87" s="152">
        <v>0</v>
      </c>
      <c r="J87" s="152">
        <v>0</v>
      </c>
      <c r="K87" s="152">
        <v>0</v>
      </c>
      <c r="L87" s="152">
        <v>0</v>
      </c>
      <c r="M87" s="152">
        <v>0</v>
      </c>
    </row>
    <row r="88" spans="1:13">
      <c r="A88" s="140"/>
      <c r="B88" s="146" t="s">
        <v>153</v>
      </c>
      <c r="C88" s="155">
        <v>0</v>
      </c>
      <c r="D88" s="155">
        <v>0</v>
      </c>
      <c r="E88" s="155">
        <v>0</v>
      </c>
      <c r="F88" s="154">
        <v>0</v>
      </c>
      <c r="G88" s="162">
        <v>0</v>
      </c>
      <c r="H88" s="152">
        <v>20000</v>
      </c>
      <c r="I88" s="152">
        <v>0</v>
      </c>
      <c r="J88" s="152">
        <v>0</v>
      </c>
      <c r="K88" s="152">
        <v>0</v>
      </c>
      <c r="L88" s="152">
        <v>0</v>
      </c>
      <c r="M88" s="152">
        <v>0</v>
      </c>
    </row>
    <row r="89" spans="1:13">
      <c r="A89" s="140"/>
      <c r="B89" s="151" t="s">
        <v>154</v>
      </c>
      <c r="C89" s="153">
        <f>SUM(C84:C88)</f>
        <v>0</v>
      </c>
      <c r="D89" s="153">
        <f>SUM(D84:D88)</f>
        <v>0</v>
      </c>
      <c r="E89" s="153">
        <f>SUM(E84:E88)</f>
        <v>0</v>
      </c>
      <c r="F89" s="153">
        <f>SUM(F84:F88)</f>
        <v>175000</v>
      </c>
      <c r="G89" s="153">
        <f>SUM(G84:G88)</f>
        <v>0</v>
      </c>
      <c r="H89" s="153">
        <f t="shared" ref="H89:M89" si="2">SUM(H80:H88)</f>
        <v>490600</v>
      </c>
      <c r="I89" s="153">
        <f t="shared" si="2"/>
        <v>701592</v>
      </c>
      <c r="J89" s="153">
        <f t="shared" si="2"/>
        <v>98003.44</v>
      </c>
      <c r="K89" s="153">
        <f t="shared" si="2"/>
        <v>444863.68079999997</v>
      </c>
      <c r="L89" s="153">
        <f t="shared" si="2"/>
        <v>0</v>
      </c>
      <c r="M89" s="153">
        <f t="shared" si="2"/>
        <v>0</v>
      </c>
    </row>
    <row r="90" spans="1:13">
      <c r="A90" s="140"/>
      <c r="B90" s="149"/>
      <c r="C90" s="135"/>
      <c r="D90" s="135"/>
      <c r="E90" s="135"/>
      <c r="F90" s="135"/>
      <c r="G90" s="135"/>
      <c r="H90" s="135"/>
      <c r="I90" s="135"/>
      <c r="J90" s="135"/>
      <c r="K90" s="135"/>
      <c r="L90" s="135"/>
      <c r="M90" s="135"/>
    </row>
    <row r="91" spans="1:13">
      <c r="A91" s="140"/>
      <c r="C91" s="152">
        <v>0</v>
      </c>
      <c r="D91" s="152">
        <v>0</v>
      </c>
      <c r="E91" s="152">
        <v>0</v>
      </c>
      <c r="F91" s="152">
        <v>0</v>
      </c>
      <c r="G91" s="152">
        <v>0</v>
      </c>
      <c r="H91" s="152">
        <v>0</v>
      </c>
      <c r="I91" s="152">
        <v>0</v>
      </c>
      <c r="J91" s="152">
        <v>0</v>
      </c>
      <c r="K91" s="152">
        <v>0</v>
      </c>
      <c r="L91" s="152">
        <v>0</v>
      </c>
      <c r="M91" s="152">
        <v>0</v>
      </c>
    </row>
    <row r="92" spans="1:13">
      <c r="A92" s="140"/>
      <c r="B92" s="133"/>
      <c r="C92" s="152">
        <v>0</v>
      </c>
      <c r="D92" s="152">
        <v>0</v>
      </c>
      <c r="E92" s="152">
        <v>0</v>
      </c>
      <c r="F92" s="152">
        <v>0</v>
      </c>
      <c r="G92" s="152">
        <v>0</v>
      </c>
      <c r="H92" s="152">
        <v>0</v>
      </c>
      <c r="I92" s="152">
        <v>0</v>
      </c>
      <c r="J92" s="152">
        <v>0</v>
      </c>
      <c r="K92" s="152">
        <v>0</v>
      </c>
      <c r="L92" s="152">
        <v>0</v>
      </c>
      <c r="M92" s="152">
        <v>0</v>
      </c>
    </row>
    <row r="93" spans="1:13" ht="24.75">
      <c r="A93" s="140"/>
      <c r="B93" s="151" t="s">
        <v>155</v>
      </c>
      <c r="C93" s="150">
        <f>SUM(C91:C92)</f>
        <v>0</v>
      </c>
      <c r="D93" s="150">
        <f>SUM(D91:D92)</f>
        <v>0</v>
      </c>
      <c r="E93" s="150">
        <f>SUM(E91:E92)</f>
        <v>0</v>
      </c>
      <c r="F93" s="150">
        <f>SUM(F91:F92)</f>
        <v>0</v>
      </c>
      <c r="G93" s="150">
        <f>SUM(G91:G92)</f>
        <v>0</v>
      </c>
      <c r="H93" s="150">
        <f>SUM(H91:H92)</f>
        <v>0</v>
      </c>
      <c r="I93" s="150">
        <f>SUM(I91:I92)</f>
        <v>0</v>
      </c>
      <c r="J93" s="150">
        <f>SUM(J91:J92)</f>
        <v>0</v>
      </c>
      <c r="K93" s="150">
        <f>SUM(K91:K92)</f>
        <v>0</v>
      </c>
      <c r="L93" s="150">
        <f>SUM(L91:L92)</f>
        <v>0</v>
      </c>
      <c r="M93" s="150">
        <f>SUM(M91:M92)</f>
        <v>0</v>
      </c>
    </row>
    <row r="94" spans="1:13">
      <c r="A94" s="140"/>
      <c r="B94" s="149"/>
      <c r="C94" s="135"/>
      <c r="D94" s="135"/>
      <c r="E94" s="135"/>
      <c r="F94" s="135"/>
      <c r="G94" s="135"/>
      <c r="H94" s="135"/>
      <c r="I94" s="135"/>
      <c r="J94" s="135"/>
      <c r="K94" s="135"/>
      <c r="L94" s="135"/>
      <c r="M94" s="135"/>
    </row>
    <row r="95" spans="1:13">
      <c r="A95" s="140"/>
      <c r="B95" s="146" t="s">
        <v>156</v>
      </c>
      <c r="C95" s="152">
        <v>0</v>
      </c>
      <c r="D95" s="152">
        <v>0</v>
      </c>
      <c r="E95" s="152">
        <v>0</v>
      </c>
      <c r="F95" s="152">
        <v>0</v>
      </c>
      <c r="G95" s="152">
        <v>0</v>
      </c>
      <c r="H95" s="152">
        <v>0</v>
      </c>
      <c r="I95" s="152">
        <v>16000000</v>
      </c>
      <c r="J95" s="152">
        <v>0</v>
      </c>
      <c r="K95" s="152">
        <v>0</v>
      </c>
      <c r="L95" s="152">
        <v>0</v>
      </c>
      <c r="M95" s="152">
        <v>0</v>
      </c>
    </row>
    <row r="96" spans="1:13">
      <c r="A96" s="140"/>
      <c r="B96" s="133" t="s">
        <v>157</v>
      </c>
      <c r="C96" s="152">
        <v>0</v>
      </c>
      <c r="D96" s="152">
        <v>0</v>
      </c>
      <c r="E96" s="152">
        <v>0</v>
      </c>
      <c r="F96" s="152">
        <v>0</v>
      </c>
      <c r="G96" s="152">
        <v>0</v>
      </c>
      <c r="H96" s="152">
        <v>6000</v>
      </c>
      <c r="I96" s="152">
        <v>0</v>
      </c>
      <c r="J96" s="152">
        <v>0</v>
      </c>
      <c r="K96" s="152">
        <v>0</v>
      </c>
      <c r="L96" s="152">
        <v>0</v>
      </c>
      <c r="M96" s="152">
        <v>0</v>
      </c>
    </row>
    <row r="97" spans="1:13">
      <c r="A97" s="140"/>
      <c r="B97" s="146"/>
      <c r="C97" s="152">
        <v>0</v>
      </c>
      <c r="D97" s="152">
        <v>0</v>
      </c>
      <c r="E97" s="152">
        <v>0</v>
      </c>
      <c r="F97" s="152">
        <v>0</v>
      </c>
      <c r="G97" s="152">
        <v>0</v>
      </c>
      <c r="H97" s="152">
        <v>0</v>
      </c>
      <c r="I97" s="152">
        <v>0</v>
      </c>
      <c r="J97" s="152">
        <v>0</v>
      </c>
      <c r="K97" s="152">
        <v>0</v>
      </c>
      <c r="L97" s="152">
        <v>0</v>
      </c>
      <c r="M97" s="152">
        <v>0</v>
      </c>
    </row>
    <row r="98" spans="1:13">
      <c r="A98" s="140"/>
      <c r="B98" s="133"/>
      <c r="C98" s="152">
        <v>0</v>
      </c>
      <c r="D98" s="152">
        <v>0</v>
      </c>
      <c r="E98" s="152">
        <v>0</v>
      </c>
      <c r="F98" s="152">
        <v>0</v>
      </c>
      <c r="G98" s="152">
        <v>0</v>
      </c>
      <c r="H98" s="152">
        <v>0</v>
      </c>
      <c r="I98" s="152">
        <v>0</v>
      </c>
      <c r="J98" s="152">
        <v>0</v>
      </c>
      <c r="K98" s="152">
        <v>0</v>
      </c>
      <c r="L98" s="152">
        <v>0</v>
      </c>
      <c r="M98" s="152">
        <v>0</v>
      </c>
    </row>
    <row r="99" spans="1:13">
      <c r="B99" s="151" t="s">
        <v>158</v>
      </c>
      <c r="C99" s="150">
        <f>SUM(C95:C98)</f>
        <v>0</v>
      </c>
      <c r="D99" s="150">
        <f>SUM(D95:D98)</f>
        <v>0</v>
      </c>
      <c r="E99" s="150">
        <f>SUM(E95:E98)</f>
        <v>0</v>
      </c>
      <c r="F99" s="150">
        <f>SUM(F95:F98)</f>
        <v>0</v>
      </c>
      <c r="G99" s="150">
        <f>SUM(G95:G98)</f>
        <v>0</v>
      </c>
      <c r="H99" s="150">
        <f>SUM(H95:H98)</f>
        <v>6000</v>
      </c>
      <c r="I99" s="150">
        <f>SUM(I95:I98)</f>
        <v>16000000</v>
      </c>
      <c r="J99" s="150">
        <f>SUM(J95:J98)</f>
        <v>0</v>
      </c>
      <c r="K99" s="150">
        <f>SUM(K95:K98)</f>
        <v>0</v>
      </c>
      <c r="L99" s="150">
        <f>SUM(L95:L98)</f>
        <v>0</v>
      </c>
      <c r="M99" s="150">
        <f>SUM(M95:M98)</f>
        <v>0</v>
      </c>
    </row>
    <row r="100" spans="1:13">
      <c r="A100" s="140"/>
      <c r="B100" s="149"/>
      <c r="C100" s="135"/>
      <c r="D100" s="135"/>
      <c r="E100" s="135"/>
      <c r="F100" s="135"/>
      <c r="G100" s="135"/>
      <c r="H100" s="135"/>
      <c r="I100" s="135"/>
      <c r="J100" s="135"/>
      <c r="K100" s="135"/>
      <c r="L100" s="135"/>
      <c r="M100" s="135"/>
    </row>
    <row r="101" spans="1:13" ht="48.75">
      <c r="A101" s="148" t="s">
        <v>159</v>
      </c>
      <c r="B101" s="148"/>
      <c r="C101" s="147">
        <f>+C13+C55+C78+C89+C93+C99</f>
        <v>0</v>
      </c>
      <c r="D101" s="147">
        <f>+D13+D55+D78+D89+D93+D99</f>
        <v>0</v>
      </c>
      <c r="E101" s="147">
        <f>+E13+E55+E78+E89+E93+E99</f>
        <v>765052.02</v>
      </c>
      <c r="F101" s="147">
        <f>+F13+F55+F78+F89+F93+F99</f>
        <v>284984</v>
      </c>
      <c r="G101" s="147">
        <f>+G13+G55+G78+G89+G93+G99</f>
        <v>101000</v>
      </c>
      <c r="H101" s="147">
        <f>+H13+H55+H78+H89+H93+H99</f>
        <v>5216800</v>
      </c>
      <c r="I101" s="147">
        <f>+I13+I55+I78+I89+I93+I99</f>
        <v>19042942</v>
      </c>
      <c r="J101" s="147">
        <f>+J13+J55+J78+J89+J93+J99</f>
        <v>1341295.94</v>
      </c>
      <c r="K101" s="147">
        <f>+K13+K55+K78+K89+K93+K99</f>
        <v>3440195.8058000002</v>
      </c>
      <c r="L101" s="147">
        <f>+L13+L55+L78+L89+L93+L99</f>
        <v>1347473.73125</v>
      </c>
      <c r="M101" s="147">
        <f>+M13+M55+M78+M89+M93+M99</f>
        <v>919722.41781250003</v>
      </c>
    </row>
    <row r="102" spans="1:13">
      <c r="A102" s="140"/>
      <c r="B102" s="146"/>
      <c r="C102" s="145"/>
      <c r="D102" s="145"/>
      <c r="E102" s="145"/>
      <c r="F102" s="145"/>
      <c r="G102" s="145"/>
      <c r="H102" s="145"/>
      <c r="I102" s="145"/>
      <c r="J102" s="145"/>
      <c r="K102" s="145"/>
      <c r="L102" s="145"/>
      <c r="M102" s="145"/>
    </row>
    <row r="103" spans="1:13">
      <c r="A103" s="144" t="s">
        <v>160</v>
      </c>
      <c r="B103" s="141" t="s">
        <v>161</v>
      </c>
      <c r="C103" s="143">
        <v>0</v>
      </c>
      <c r="D103" s="143">
        <v>0</v>
      </c>
      <c r="E103" s="143">
        <v>0</v>
      </c>
      <c r="F103" s="143">
        <f>F29</f>
        <v>8000</v>
      </c>
      <c r="G103" s="143">
        <f>G12+G30+G65+G59</f>
        <v>101000</v>
      </c>
      <c r="H103" s="143">
        <v>0</v>
      </c>
      <c r="I103" s="143">
        <v>0</v>
      </c>
      <c r="J103" s="143">
        <v>0</v>
      </c>
      <c r="K103" s="143">
        <v>0</v>
      </c>
      <c r="L103" s="143">
        <v>0</v>
      </c>
      <c r="M103" s="143">
        <v>0</v>
      </c>
    </row>
    <row r="104" spans="1:13">
      <c r="A104" s="140"/>
      <c r="B104" s="141" t="s">
        <v>162</v>
      </c>
      <c r="C104" s="143">
        <v>0</v>
      </c>
      <c r="D104" s="143">
        <v>0</v>
      </c>
      <c r="E104" s="143">
        <v>0</v>
      </c>
      <c r="F104" s="143">
        <v>0</v>
      </c>
      <c r="G104" s="143">
        <v>0</v>
      </c>
      <c r="H104" s="143">
        <v>0</v>
      </c>
      <c r="I104" s="143">
        <v>0</v>
      </c>
      <c r="J104" s="143">
        <v>0</v>
      </c>
      <c r="K104" s="143">
        <v>0</v>
      </c>
      <c r="L104" s="143">
        <v>0</v>
      </c>
      <c r="M104" s="143">
        <v>0</v>
      </c>
    </row>
    <row r="105" spans="1:13" ht="24.75">
      <c r="A105" s="140"/>
      <c r="B105" s="142" t="s">
        <v>163</v>
      </c>
      <c r="C105" s="135">
        <v>0</v>
      </c>
      <c r="D105" s="135">
        <v>0</v>
      </c>
      <c r="E105" s="135">
        <v>0</v>
      </c>
      <c r="F105" s="135">
        <v>0</v>
      </c>
      <c r="G105" s="135">
        <v>0</v>
      </c>
      <c r="H105" s="135">
        <v>0</v>
      </c>
      <c r="I105" s="135">
        <v>0</v>
      </c>
      <c r="J105" s="135">
        <v>0</v>
      </c>
      <c r="K105" s="135">
        <v>0</v>
      </c>
      <c r="L105" s="135">
        <v>0</v>
      </c>
      <c r="M105" s="135">
        <v>0</v>
      </c>
    </row>
    <row r="106" spans="1:13">
      <c r="A106" s="140"/>
      <c r="B106" s="142" t="s">
        <v>164</v>
      </c>
      <c r="C106" s="135">
        <v>0</v>
      </c>
      <c r="D106" s="135">
        <v>0</v>
      </c>
      <c r="E106" s="135">
        <v>0</v>
      </c>
      <c r="F106" s="135">
        <v>0</v>
      </c>
      <c r="G106" s="135">
        <v>0</v>
      </c>
      <c r="H106" s="135">
        <v>0</v>
      </c>
      <c r="I106" s="135">
        <v>0</v>
      </c>
      <c r="J106" s="135">
        <v>0</v>
      </c>
      <c r="K106" s="135">
        <v>0</v>
      </c>
      <c r="L106" s="135">
        <v>0</v>
      </c>
      <c r="M106" s="135">
        <v>0</v>
      </c>
    </row>
    <row r="107" spans="1:13">
      <c r="A107" s="140"/>
      <c r="B107" s="142" t="s">
        <v>164</v>
      </c>
      <c r="C107" s="135">
        <v>0</v>
      </c>
      <c r="D107" s="135">
        <v>0</v>
      </c>
      <c r="E107" s="135">
        <v>0</v>
      </c>
      <c r="F107" s="135">
        <v>0</v>
      </c>
      <c r="G107" s="135">
        <v>0</v>
      </c>
      <c r="H107" s="135">
        <v>0</v>
      </c>
      <c r="I107" s="135">
        <v>0</v>
      </c>
      <c r="J107" s="135">
        <v>0</v>
      </c>
      <c r="K107" s="135">
        <v>0</v>
      </c>
      <c r="L107" s="135">
        <v>0</v>
      </c>
      <c r="M107" s="135">
        <v>0</v>
      </c>
    </row>
    <row r="108" spans="1:13">
      <c r="A108" s="140"/>
      <c r="B108" s="141" t="s">
        <v>165</v>
      </c>
      <c r="C108" s="135">
        <v>0</v>
      </c>
      <c r="D108" s="135">
        <v>0</v>
      </c>
      <c r="E108" s="135">
        <v>0</v>
      </c>
      <c r="F108" s="135">
        <v>0</v>
      </c>
      <c r="G108" s="135">
        <v>0</v>
      </c>
      <c r="H108" s="135">
        <v>0</v>
      </c>
      <c r="I108" s="135">
        <v>0</v>
      </c>
      <c r="J108" s="135">
        <v>0</v>
      </c>
      <c r="K108" s="135">
        <v>0</v>
      </c>
      <c r="L108" s="135">
        <v>0</v>
      </c>
      <c r="M108" s="135">
        <v>0</v>
      </c>
    </row>
    <row r="109" spans="1:13">
      <c r="A109" s="140"/>
      <c r="B109" s="133" t="s">
        <v>166</v>
      </c>
      <c r="C109" s="135">
        <v>0</v>
      </c>
      <c r="D109" s="135">
        <v>0</v>
      </c>
      <c r="E109" s="135">
        <v>0</v>
      </c>
      <c r="F109" s="135">
        <v>0</v>
      </c>
      <c r="G109" s="135">
        <v>0</v>
      </c>
      <c r="H109" s="135">
        <v>0</v>
      </c>
      <c r="I109" s="135">
        <v>0</v>
      </c>
      <c r="J109" s="135">
        <v>0</v>
      </c>
      <c r="K109" s="135">
        <v>0</v>
      </c>
      <c r="L109" s="135">
        <v>0</v>
      </c>
      <c r="M109" s="135">
        <v>0</v>
      </c>
    </row>
    <row r="110" spans="1:13">
      <c r="A110" s="140"/>
      <c r="B110" s="133" t="s">
        <v>167</v>
      </c>
      <c r="C110" s="135">
        <v>0</v>
      </c>
      <c r="D110" s="135">
        <v>0</v>
      </c>
      <c r="E110" s="135">
        <v>0</v>
      </c>
      <c r="F110" s="135">
        <v>0</v>
      </c>
      <c r="G110" s="135">
        <v>0</v>
      </c>
      <c r="H110" s="135">
        <v>0</v>
      </c>
      <c r="I110" s="135">
        <v>0</v>
      </c>
      <c r="J110" s="135">
        <v>0</v>
      </c>
      <c r="K110" s="135">
        <v>0</v>
      </c>
      <c r="L110" s="135">
        <v>0</v>
      </c>
      <c r="M110" s="135">
        <v>0</v>
      </c>
    </row>
    <row r="111" spans="1:13">
      <c r="B111" s="133" t="s">
        <v>168</v>
      </c>
      <c r="C111" s="135">
        <v>0</v>
      </c>
      <c r="D111" s="135">
        <v>0</v>
      </c>
      <c r="E111" s="135">
        <f>704000+E15</f>
        <v>765052.02</v>
      </c>
      <c r="F111" s="135">
        <f>F84+F28+F25+F87+F15</f>
        <v>276984</v>
      </c>
      <c r="G111" s="135">
        <v>0</v>
      </c>
      <c r="H111" s="135">
        <v>0</v>
      </c>
      <c r="I111" s="135">
        <v>0</v>
      </c>
      <c r="J111" s="135">
        <v>0</v>
      </c>
      <c r="K111" s="135">
        <v>0</v>
      </c>
      <c r="L111" s="135">
        <v>0</v>
      </c>
      <c r="M111" s="135">
        <v>0</v>
      </c>
    </row>
    <row r="112" spans="1:13">
      <c r="B112" s="139" t="s">
        <v>169</v>
      </c>
      <c r="C112" s="138">
        <v>0</v>
      </c>
      <c r="D112" s="138">
        <v>0</v>
      </c>
      <c r="E112" s="138">
        <v>0</v>
      </c>
      <c r="F112" s="138">
        <v>0</v>
      </c>
      <c r="G112" s="138">
        <v>0</v>
      </c>
      <c r="H112" s="138">
        <v>0</v>
      </c>
      <c r="I112" s="138">
        <v>0</v>
      </c>
      <c r="J112" s="138">
        <v>0</v>
      </c>
      <c r="K112" s="138">
        <v>0</v>
      </c>
      <c r="L112" s="138">
        <v>0</v>
      </c>
      <c r="M112" s="138">
        <v>0</v>
      </c>
    </row>
    <row r="113" spans="1:13">
      <c r="A113" s="137" t="s">
        <v>170</v>
      </c>
      <c r="B113" s="136"/>
      <c r="C113" s="135">
        <f>SUM(C103:C112)</f>
        <v>0</v>
      </c>
      <c r="D113" s="135">
        <f>SUM(D103:D112)</f>
        <v>0</v>
      </c>
      <c r="E113" s="135">
        <f>SUM(E103:E112)</f>
        <v>765052.02</v>
      </c>
      <c r="F113" s="135">
        <f>SUM(F103:F112)</f>
        <v>284984</v>
      </c>
      <c r="G113" s="135">
        <f>SUM(G103:G112)</f>
        <v>101000</v>
      </c>
      <c r="H113" s="135">
        <f>SUM(H103:H112)</f>
        <v>0</v>
      </c>
      <c r="I113" s="135">
        <f>SUM(I103:I112)</f>
        <v>0</v>
      </c>
      <c r="J113" s="135">
        <f>SUM(J103:J112)</f>
        <v>0</v>
      </c>
      <c r="K113" s="135">
        <f>SUM(K103:K112)</f>
        <v>0</v>
      </c>
      <c r="L113" s="135">
        <f>SUM(L103:L112)</f>
        <v>0</v>
      </c>
      <c r="M113" s="135">
        <f>SUM(M103:M112)</f>
        <v>0</v>
      </c>
    </row>
    <row r="114" spans="1:13">
      <c r="A114" s="134" t="s">
        <v>171</v>
      </c>
      <c r="B114" s="133"/>
      <c r="C114" s="132">
        <f>+C113-C101</f>
        <v>0</v>
      </c>
      <c r="D114" s="132">
        <f>+D113-D101</f>
        <v>0</v>
      </c>
      <c r="E114" s="132">
        <f>+E113-E101</f>
        <v>0</v>
      </c>
      <c r="F114" s="132">
        <f>+F113-F101</f>
        <v>0</v>
      </c>
      <c r="G114" s="132">
        <f>+G113-G101</f>
        <v>0</v>
      </c>
      <c r="H114" s="132">
        <f>+H113-H101</f>
        <v>-5216800</v>
      </c>
      <c r="I114" s="132">
        <f>+I113-I101</f>
        <v>-19042942</v>
      </c>
      <c r="J114" s="132">
        <f>+J113-J101</f>
        <v>-1341295.94</v>
      </c>
      <c r="K114" s="132">
        <f>+K113-K101</f>
        <v>-3440195.8058000002</v>
      </c>
      <c r="L114" s="132">
        <f>+L113-L101</f>
        <v>-1347473.73125</v>
      </c>
      <c r="M114" s="132">
        <f>+M113-M101</f>
        <v>-919722.41781250003</v>
      </c>
    </row>
    <row r="116" spans="1:13">
      <c r="A116" s="65"/>
      <c r="B116" s="65"/>
      <c r="C116" s="65"/>
      <c r="D116" s="65"/>
      <c r="E116" s="65"/>
      <c r="F116" s="65"/>
      <c r="G116" s="65"/>
      <c r="H116" s="65"/>
      <c r="I116" s="65"/>
    </row>
  </sheetData>
  <mergeCells count="1">
    <mergeCell ref="A2:B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sheetPr>
  <dimension ref="B1:J28"/>
  <sheetViews>
    <sheetView tabSelected="1" zoomScaleNormal="100" workbookViewId="0">
      <selection activeCell="J9" sqref="J9"/>
    </sheetView>
  </sheetViews>
  <sheetFormatPr defaultColWidth="9.140625" defaultRowHeight="15"/>
  <cols>
    <col min="1" max="1" width="9.140625" style="66"/>
    <col min="2" max="2" width="14.42578125" style="66" bestFit="1" customWidth="1"/>
    <col min="3" max="3" width="11.28515625" style="66" bestFit="1" customWidth="1"/>
    <col min="4" max="4" width="26.85546875" style="66" bestFit="1" customWidth="1"/>
    <col min="5" max="5" width="84" style="66" customWidth="1"/>
    <col min="6" max="6" width="14.28515625" style="66" bestFit="1" customWidth="1"/>
    <col min="7" max="7" width="17" style="66" bestFit="1" customWidth="1"/>
    <col min="8" max="10" width="12.5703125" style="66" customWidth="1"/>
    <col min="11" max="16384" width="9.140625" style="66"/>
  </cols>
  <sheetData>
    <row r="1" spans="2:10">
      <c r="C1" s="62"/>
      <c r="D1" s="63"/>
      <c r="E1" s="64"/>
      <c r="F1" s="64"/>
      <c r="G1" s="64"/>
      <c r="H1" s="64"/>
      <c r="I1" s="64"/>
      <c r="J1" s="64"/>
    </row>
    <row r="2" spans="2:10" ht="17.25" customHeight="1">
      <c r="B2" s="225" t="s">
        <v>172</v>
      </c>
      <c r="C2" s="226"/>
      <c r="D2" s="226"/>
      <c r="E2" s="226"/>
      <c r="F2" s="226"/>
      <c r="G2" s="227"/>
      <c r="H2" s="206"/>
      <c r="I2" s="206"/>
      <c r="J2" s="206"/>
    </row>
    <row r="3" spans="2:10" ht="12" customHeight="1">
      <c r="B3" s="193" t="s">
        <v>173</v>
      </c>
      <c r="C3" s="193" t="s">
        <v>174</v>
      </c>
      <c r="D3" s="193" t="s">
        <v>69</v>
      </c>
      <c r="E3" s="193" t="s">
        <v>175</v>
      </c>
      <c r="F3" s="193" t="s">
        <v>176</v>
      </c>
      <c r="G3" s="193" t="s">
        <v>177</v>
      </c>
    </row>
    <row r="4" spans="2:10" ht="90">
      <c r="B4" s="195">
        <v>1</v>
      </c>
      <c r="C4" s="215" t="s">
        <v>178</v>
      </c>
      <c r="D4" s="219" t="s">
        <v>74</v>
      </c>
      <c r="E4" s="196" t="s">
        <v>179</v>
      </c>
      <c r="F4" s="216">
        <v>150000</v>
      </c>
      <c r="G4" s="215" t="s">
        <v>180</v>
      </c>
    </row>
    <row r="5" spans="2:10" ht="90">
      <c r="B5" s="195">
        <v>2</v>
      </c>
      <c r="C5" s="215" t="s">
        <v>79</v>
      </c>
      <c r="D5" s="219" t="s">
        <v>181</v>
      </c>
      <c r="E5" s="196" t="s">
        <v>182</v>
      </c>
      <c r="F5" s="216">
        <v>85000</v>
      </c>
      <c r="G5" s="215" t="s">
        <v>180</v>
      </c>
    </row>
    <row r="6" spans="2:10" ht="64.5">
      <c r="B6" s="197">
        <v>3</v>
      </c>
      <c r="C6" s="218" t="s">
        <v>183</v>
      </c>
      <c r="D6" s="220" t="s">
        <v>184</v>
      </c>
      <c r="E6" s="194" t="s">
        <v>185</v>
      </c>
      <c r="F6" s="217">
        <v>105000</v>
      </c>
      <c r="G6" s="215" t="s">
        <v>186</v>
      </c>
    </row>
    <row r="7" spans="2:10" ht="102.75">
      <c r="B7" s="195">
        <v>4</v>
      </c>
      <c r="C7" s="215" t="s">
        <v>187</v>
      </c>
      <c r="D7" s="219" t="s">
        <v>188</v>
      </c>
      <c r="E7" s="196" t="s">
        <v>189</v>
      </c>
      <c r="F7" s="216">
        <v>45000</v>
      </c>
      <c r="G7" s="215" t="s">
        <v>180</v>
      </c>
    </row>
    <row r="8" spans="2:10" ht="90">
      <c r="B8" s="195">
        <v>5</v>
      </c>
      <c r="C8" s="215" t="s">
        <v>190</v>
      </c>
      <c r="D8" s="219" t="s">
        <v>151</v>
      </c>
      <c r="E8" s="196" t="s">
        <v>191</v>
      </c>
      <c r="F8" s="216">
        <v>100000</v>
      </c>
      <c r="G8" s="215" t="s">
        <v>180</v>
      </c>
    </row>
    <row r="9" spans="2:10" ht="90">
      <c r="B9" s="197">
        <v>6</v>
      </c>
      <c r="C9" s="218" t="s">
        <v>192</v>
      </c>
      <c r="D9" s="220" t="s">
        <v>193</v>
      </c>
      <c r="E9" s="198" t="s">
        <v>194</v>
      </c>
      <c r="F9" s="217">
        <v>100000</v>
      </c>
      <c r="G9" s="218" t="s">
        <v>180</v>
      </c>
    </row>
    <row r="10" spans="2:10" ht="102.75">
      <c r="B10" s="195">
        <v>7</v>
      </c>
      <c r="C10" s="215" t="s">
        <v>190</v>
      </c>
      <c r="D10" s="219" t="s">
        <v>150</v>
      </c>
      <c r="E10" s="196" t="s">
        <v>195</v>
      </c>
      <c r="F10" s="216">
        <v>80000</v>
      </c>
      <c r="G10" s="215" t="s">
        <v>180</v>
      </c>
    </row>
    <row r="11" spans="2:10" ht="64.5">
      <c r="B11" s="218">
        <v>8</v>
      </c>
      <c r="C11" s="218" t="s">
        <v>192</v>
      </c>
      <c r="D11" s="218" t="s">
        <v>196</v>
      </c>
      <c r="E11" s="194" t="s">
        <v>197</v>
      </c>
      <c r="F11" s="221">
        <v>80000</v>
      </c>
      <c r="G11" s="218" t="s">
        <v>180</v>
      </c>
    </row>
    <row r="12" spans="2:10">
      <c r="B12" s="222" t="s">
        <v>198</v>
      </c>
      <c r="C12" s="222" t="s">
        <v>199</v>
      </c>
      <c r="D12" s="222"/>
      <c r="E12" s="222" t="s">
        <v>200</v>
      </c>
      <c r="F12" s="223">
        <f>SUM(F4:F11)</f>
        <v>745000</v>
      </c>
      <c r="G12" s="224" t="s">
        <v>198</v>
      </c>
      <c r="H12" s="64"/>
      <c r="I12" s="64"/>
      <c r="J12" s="64"/>
    </row>
    <row r="13" spans="2:10">
      <c r="B13" s="191"/>
      <c r="C13" s="212"/>
      <c r="D13" s="191"/>
      <c r="E13" s="192"/>
      <c r="F13" s="192"/>
      <c r="G13" s="192"/>
      <c r="H13" s="64"/>
      <c r="I13" s="64"/>
      <c r="J13" s="64"/>
    </row>
    <row r="14" spans="2:10">
      <c r="B14" s="238"/>
      <c r="C14" s="239"/>
      <c r="D14" s="63"/>
      <c r="E14" s="64"/>
      <c r="G14" s="64"/>
      <c r="H14" s="64"/>
      <c r="I14" s="64"/>
      <c r="J14" s="64"/>
    </row>
    <row r="15" spans="2:10">
      <c r="B15" s="63"/>
      <c r="C15" s="202"/>
      <c r="D15" s="63"/>
      <c r="E15" s="64"/>
      <c r="F15" s="64"/>
      <c r="G15" s="64"/>
      <c r="H15" s="64"/>
      <c r="I15" s="64"/>
      <c r="J15" s="64"/>
    </row>
    <row r="16" spans="2:10">
      <c r="B16" s="238"/>
      <c r="C16" s="239"/>
      <c r="D16" s="63"/>
      <c r="E16" s="228"/>
      <c r="F16" s="64"/>
      <c r="G16" s="64"/>
      <c r="H16" s="64"/>
      <c r="I16" s="64"/>
      <c r="J16" s="64"/>
    </row>
    <row r="17" spans="2:10">
      <c r="B17" s="202"/>
      <c r="C17" s="202"/>
      <c r="D17" s="203"/>
      <c r="E17" s="204"/>
      <c r="F17" s="204"/>
      <c r="G17" s="204"/>
      <c r="H17" s="204"/>
      <c r="I17" s="204"/>
      <c r="J17" s="204"/>
    </row>
    <row r="18" spans="2:10">
      <c r="H18" s="202"/>
      <c r="I18" s="202"/>
      <c r="J18" s="202"/>
    </row>
    <row r="19" spans="2:10">
      <c r="B19" s="205"/>
      <c r="C19" s="205"/>
      <c r="D19" s="206"/>
      <c r="E19" s="207"/>
      <c r="F19" s="207"/>
      <c r="G19" s="207"/>
      <c r="H19" s="207"/>
      <c r="I19" s="207"/>
      <c r="J19" s="207"/>
    </row>
    <row r="20" spans="2:10">
      <c r="B20" s="208"/>
      <c r="C20" s="209"/>
      <c r="D20" s="209"/>
      <c r="E20" s="207"/>
      <c r="F20" s="207"/>
      <c r="G20" s="207"/>
      <c r="H20" s="207"/>
      <c r="I20" s="207"/>
      <c r="J20" s="207"/>
    </row>
    <row r="21" spans="2:10">
      <c r="B21" s="210"/>
      <c r="C21" s="238"/>
      <c r="D21" s="239"/>
      <c r="E21" s="64"/>
      <c r="F21" s="64"/>
      <c r="G21" s="64"/>
      <c r="H21" s="64"/>
      <c r="I21" s="64"/>
      <c r="J21" s="64"/>
    </row>
    <row r="22" spans="2:10">
      <c r="B22" s="210"/>
      <c r="C22" s="238"/>
      <c r="D22" s="239"/>
      <c r="E22" s="64"/>
      <c r="F22" s="64"/>
      <c r="G22" s="64"/>
      <c r="H22" s="64"/>
      <c r="I22" s="64"/>
      <c r="J22" s="64"/>
    </row>
    <row r="23" spans="2:10">
      <c r="B23" s="210"/>
      <c r="C23" s="238"/>
      <c r="D23" s="239"/>
      <c r="E23" s="64"/>
      <c r="F23" s="64"/>
      <c r="G23" s="64"/>
      <c r="H23" s="64"/>
      <c r="I23" s="64"/>
      <c r="J23" s="64"/>
    </row>
    <row r="24" spans="2:10">
      <c r="B24" s="210"/>
      <c r="C24" s="238"/>
      <c r="D24" s="239"/>
      <c r="E24" s="64"/>
      <c r="F24" s="64"/>
      <c r="G24" s="64"/>
      <c r="H24" s="64"/>
      <c r="I24" s="64"/>
      <c r="J24" s="64"/>
    </row>
    <row r="25" spans="2:10">
      <c r="B25" s="210"/>
      <c r="C25" s="238"/>
      <c r="D25" s="239"/>
      <c r="E25" s="64"/>
      <c r="F25" s="64"/>
      <c r="G25" s="64"/>
      <c r="H25" s="64"/>
      <c r="I25" s="64"/>
      <c r="J25" s="64"/>
    </row>
    <row r="26" spans="2:10">
      <c r="B26" s="211"/>
      <c r="C26" s="238"/>
      <c r="D26" s="239"/>
      <c r="E26" s="64"/>
      <c r="F26" s="64"/>
      <c r="G26" s="64"/>
      <c r="H26" s="64"/>
      <c r="I26" s="64"/>
      <c r="J26" s="64"/>
    </row>
    <row r="27" spans="2:10">
      <c r="B27" s="211"/>
      <c r="C27" s="238"/>
      <c r="D27" s="239"/>
      <c r="E27" s="228"/>
      <c r="F27" s="64"/>
      <c r="G27" s="64"/>
      <c r="H27" s="64"/>
      <c r="I27" s="64"/>
      <c r="J27" s="64"/>
    </row>
    <row r="28" spans="2:10">
      <c r="B28" s="202"/>
      <c r="C28" s="202"/>
      <c r="D28" s="203"/>
      <c r="E28" s="204"/>
      <c r="F28" s="204"/>
      <c r="G28" s="204"/>
      <c r="H28" s="204"/>
      <c r="I28" s="204"/>
      <c r="J28" s="204"/>
    </row>
  </sheetData>
  <mergeCells count="9">
    <mergeCell ref="C25:D25"/>
    <mergeCell ref="C26:D26"/>
    <mergeCell ref="C27:D27"/>
    <mergeCell ref="B14:C14"/>
    <mergeCell ref="B16:C16"/>
    <mergeCell ref="C21:D21"/>
    <mergeCell ref="C22:D22"/>
    <mergeCell ref="C23:D23"/>
    <mergeCell ref="C24:D24"/>
  </mergeCells>
  <phoneticPr fontId="35" type="noConversion"/>
  <pageMargins left="0.7" right="0.7" top="0.75" bottom="0.75" header="0.3" footer="0.3"/>
  <pageSetup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6" tint="0.79998168889431442"/>
  </sheetPr>
  <dimension ref="A1:Q127"/>
  <sheetViews>
    <sheetView topLeftCell="A91" zoomScaleNormal="100" workbookViewId="0">
      <selection activeCell="G117" sqref="G117"/>
    </sheetView>
  </sheetViews>
  <sheetFormatPr defaultColWidth="9.140625" defaultRowHeight="12.75"/>
  <cols>
    <col min="1" max="1" width="7.28515625" style="2" customWidth="1"/>
    <col min="2" max="2" width="21.28515625" style="2" customWidth="1"/>
    <col min="3" max="3" width="30.42578125" style="2" customWidth="1"/>
    <col min="4" max="4" width="30.42578125" style="3" customWidth="1"/>
    <col min="5" max="5" width="11.5703125" style="2" customWidth="1"/>
    <col min="6" max="6" width="12.7109375" style="2" customWidth="1"/>
    <col min="7" max="7" width="14" style="2" customWidth="1"/>
    <col min="8" max="8" width="9.140625" style="3"/>
    <col min="9" max="10" width="9.5703125" style="3" bestFit="1" customWidth="1"/>
    <col min="11" max="11" width="12.85546875" style="3" customWidth="1"/>
    <col min="12" max="12" width="12.140625" style="2" customWidth="1"/>
    <col min="13" max="13" width="9" style="2" customWidth="1"/>
    <col min="14" max="14" width="12.42578125" style="3" customWidth="1"/>
    <col min="15" max="16" width="9.140625" style="2"/>
    <col min="17" max="17" width="11.42578125" style="2" customWidth="1"/>
    <col min="18" max="16384" width="9.140625" style="2"/>
  </cols>
  <sheetData>
    <row r="1" spans="1:17" ht="15" customHeight="1">
      <c r="A1" s="232" t="s">
        <v>201</v>
      </c>
      <c r="B1" s="232"/>
      <c r="C1" s="232"/>
      <c r="D1" s="232"/>
      <c r="E1" s="232"/>
      <c r="F1" s="232"/>
      <c r="G1" s="232"/>
      <c r="H1" s="232"/>
      <c r="I1" s="232"/>
      <c r="J1" s="232"/>
      <c r="K1" s="232"/>
      <c r="L1" s="232"/>
      <c r="M1" s="232"/>
      <c r="N1" s="232"/>
    </row>
    <row r="2" spans="1:17" ht="15" customHeight="1">
      <c r="A2" s="232" t="s">
        <v>202</v>
      </c>
      <c r="B2" s="232"/>
      <c r="C2" s="232"/>
      <c r="D2" s="232"/>
      <c r="E2" s="232"/>
      <c r="F2" s="232"/>
      <c r="G2" s="232"/>
      <c r="H2" s="232"/>
      <c r="I2" s="232"/>
      <c r="J2" s="232"/>
      <c r="K2" s="232"/>
      <c r="L2" s="232"/>
      <c r="M2" s="232"/>
      <c r="N2" s="232"/>
    </row>
    <row r="3" spans="1:17">
      <c r="A3" s="69"/>
      <c r="B3" s="69"/>
      <c r="C3" s="69"/>
      <c r="D3" s="84"/>
      <c r="E3" s="69"/>
      <c r="F3" s="69"/>
      <c r="G3" s="69"/>
      <c r="H3" s="84"/>
      <c r="I3" s="84"/>
      <c r="J3" s="84"/>
      <c r="K3" s="84"/>
      <c r="L3" s="69"/>
      <c r="M3" s="69"/>
      <c r="N3" s="84"/>
    </row>
    <row r="4" spans="1:17" s="1" customFormat="1" ht="38.25">
      <c r="A4" s="6" t="s">
        <v>203</v>
      </c>
      <c r="B4" s="6" t="s">
        <v>204</v>
      </c>
      <c r="C4" s="6" t="s">
        <v>205</v>
      </c>
      <c r="D4" s="6" t="s">
        <v>11</v>
      </c>
      <c r="E4" s="7" t="s">
        <v>206</v>
      </c>
      <c r="F4" s="7" t="s">
        <v>207</v>
      </c>
      <c r="G4" s="7" t="s">
        <v>208</v>
      </c>
      <c r="H4" s="7" t="s">
        <v>209</v>
      </c>
      <c r="I4" s="7" t="s">
        <v>210</v>
      </c>
      <c r="J4" s="7" t="s">
        <v>211</v>
      </c>
      <c r="K4" s="7" t="s">
        <v>212</v>
      </c>
      <c r="L4" s="7" t="s">
        <v>213</v>
      </c>
      <c r="M4" s="7" t="s">
        <v>214</v>
      </c>
      <c r="N4" s="7" t="s">
        <v>215</v>
      </c>
      <c r="O4" s="7" t="s">
        <v>216</v>
      </c>
      <c r="P4" s="7" t="s">
        <v>217</v>
      </c>
      <c r="Q4" s="7" t="s">
        <v>218</v>
      </c>
    </row>
    <row r="5" spans="1:17" ht="14.25" customHeight="1">
      <c r="A5" s="104">
        <v>1</v>
      </c>
      <c r="B5" s="115" t="s">
        <v>219</v>
      </c>
      <c r="C5" s="115" t="s">
        <v>220</v>
      </c>
      <c r="D5" s="115" t="s">
        <v>221</v>
      </c>
      <c r="E5" s="115">
        <v>2019</v>
      </c>
      <c r="F5" s="116" t="s">
        <v>222</v>
      </c>
      <c r="G5" s="117" t="s">
        <v>223</v>
      </c>
      <c r="H5" s="116"/>
      <c r="I5" s="105">
        <v>10</v>
      </c>
      <c r="J5" s="117"/>
      <c r="K5" s="105">
        <f>2024-E5</f>
        <v>5</v>
      </c>
      <c r="L5" s="106">
        <v>26000</v>
      </c>
      <c r="M5" s="105" t="s">
        <v>224</v>
      </c>
      <c r="N5" s="112"/>
      <c r="O5" s="112">
        <f>E5+I5</f>
        <v>2029</v>
      </c>
      <c r="P5" s="119"/>
      <c r="Q5" s="106">
        <f>L5/I5</f>
        <v>2600</v>
      </c>
    </row>
    <row r="6" spans="1:17" ht="14.25" customHeight="1">
      <c r="A6" s="2">
        <f>COUNT(A5)</f>
        <v>1</v>
      </c>
      <c r="B6" s="2" t="s">
        <v>225</v>
      </c>
      <c r="K6" s="3">
        <v>5</v>
      </c>
      <c r="L6" s="110">
        <f>SUM(L5)</f>
        <v>26000</v>
      </c>
      <c r="N6" s="2"/>
      <c r="O6" s="3"/>
      <c r="P6" s="8"/>
      <c r="Q6" s="102">
        <f>SUM(Q5)</f>
        <v>2600</v>
      </c>
    </row>
    <row r="7" spans="1:17" ht="14.25" customHeight="1">
      <c r="L7" s="3"/>
      <c r="N7" s="2"/>
      <c r="O7" s="3"/>
      <c r="P7" s="8"/>
      <c r="Q7" s="102"/>
    </row>
    <row r="8" spans="1:17" ht="14.25" customHeight="1">
      <c r="Q8" s="102"/>
    </row>
    <row r="9" spans="1:17" ht="14.25" customHeight="1">
      <c r="A9" s="2">
        <v>2</v>
      </c>
      <c r="B9" t="s">
        <v>226</v>
      </c>
      <c r="C9" t="s">
        <v>227</v>
      </c>
      <c r="D9" t="s">
        <v>228</v>
      </c>
      <c r="E9">
        <v>1954</v>
      </c>
      <c r="F9" s="5" t="s">
        <v>222</v>
      </c>
      <c r="G9" s="4" t="s">
        <v>229</v>
      </c>
      <c r="H9" s="5"/>
      <c r="I9" s="3">
        <v>20</v>
      </c>
      <c r="J9" s="4"/>
      <c r="K9" s="3">
        <f t="shared" ref="K9:K70" si="0">2024-E9</f>
        <v>70</v>
      </c>
      <c r="L9" s="102">
        <v>0</v>
      </c>
      <c r="M9" s="3" t="s">
        <v>230</v>
      </c>
      <c r="N9" s="1"/>
      <c r="O9" s="121">
        <f t="shared" ref="O9:O27" si="1">E9+I9</f>
        <v>1974</v>
      </c>
      <c r="P9" s="8"/>
      <c r="Q9" s="102">
        <f t="shared" ref="Q9:Q69" si="2">L9/I9</f>
        <v>0</v>
      </c>
    </row>
    <row r="10" spans="1:17" ht="14.25" customHeight="1">
      <c r="A10" s="2">
        <v>3</v>
      </c>
      <c r="B10" t="s">
        <v>226</v>
      </c>
      <c r="C10" t="s">
        <v>231</v>
      </c>
      <c r="D10" t="s">
        <v>232</v>
      </c>
      <c r="E10">
        <v>1984</v>
      </c>
      <c r="F10" s="5" t="s">
        <v>222</v>
      </c>
      <c r="G10" s="4" t="s">
        <v>229</v>
      </c>
      <c r="H10" s="5"/>
      <c r="I10" s="3">
        <v>20</v>
      </c>
      <c r="J10" s="4"/>
      <c r="K10" s="3">
        <f t="shared" si="0"/>
        <v>40</v>
      </c>
      <c r="L10" s="102">
        <v>93000</v>
      </c>
      <c r="M10" s="3" t="s">
        <v>230</v>
      </c>
      <c r="N10" s="1"/>
      <c r="O10" s="121">
        <f t="shared" si="1"/>
        <v>2004</v>
      </c>
      <c r="P10" s="8"/>
      <c r="Q10" s="102">
        <f t="shared" si="2"/>
        <v>4650</v>
      </c>
    </row>
    <row r="11" spans="1:17" ht="14.25" customHeight="1">
      <c r="A11" s="2">
        <v>4</v>
      </c>
      <c r="B11" t="s">
        <v>226</v>
      </c>
      <c r="C11" t="s">
        <v>233</v>
      </c>
      <c r="D11" t="s">
        <v>234</v>
      </c>
      <c r="E11">
        <v>1988</v>
      </c>
      <c r="F11" s="5" t="s">
        <v>222</v>
      </c>
      <c r="G11" s="4" t="s">
        <v>229</v>
      </c>
      <c r="H11" s="5"/>
      <c r="I11" s="3">
        <v>20</v>
      </c>
      <c r="J11" s="4"/>
      <c r="K11" s="3">
        <f t="shared" si="0"/>
        <v>36</v>
      </c>
      <c r="L11" s="102">
        <v>99999</v>
      </c>
      <c r="M11" s="3" t="s">
        <v>230</v>
      </c>
      <c r="N11" s="1"/>
      <c r="O11" s="121">
        <f t="shared" si="1"/>
        <v>2008</v>
      </c>
      <c r="P11" s="8"/>
      <c r="Q11" s="102">
        <f t="shared" si="2"/>
        <v>4999.95</v>
      </c>
    </row>
    <row r="12" spans="1:17" ht="14.25" customHeight="1">
      <c r="A12" s="2">
        <v>5</v>
      </c>
      <c r="B12" t="s">
        <v>226</v>
      </c>
      <c r="C12" t="s">
        <v>235</v>
      </c>
      <c r="D12" t="s">
        <v>236</v>
      </c>
      <c r="E12">
        <v>2001</v>
      </c>
      <c r="F12" s="5" t="s">
        <v>237</v>
      </c>
      <c r="G12" s="4" t="s">
        <v>238</v>
      </c>
      <c r="H12" s="5"/>
      <c r="I12" s="3">
        <v>20</v>
      </c>
      <c r="J12" s="4"/>
      <c r="K12" s="3">
        <f t="shared" si="0"/>
        <v>23</v>
      </c>
      <c r="L12" s="108">
        <v>189112</v>
      </c>
      <c r="M12" s="3" t="s">
        <v>239</v>
      </c>
      <c r="N12" s="1"/>
      <c r="O12" s="1">
        <f t="shared" si="1"/>
        <v>2021</v>
      </c>
      <c r="P12" s="8"/>
      <c r="Q12" s="102">
        <f t="shared" si="2"/>
        <v>9455.6</v>
      </c>
    </row>
    <row r="13" spans="1:17" ht="14.25" customHeight="1">
      <c r="A13" s="2">
        <v>6</v>
      </c>
      <c r="B13" t="s">
        <v>226</v>
      </c>
      <c r="C13" t="s">
        <v>240</v>
      </c>
      <c r="D13" t="s">
        <v>241</v>
      </c>
      <c r="E13">
        <v>2006</v>
      </c>
      <c r="F13" s="5" t="s">
        <v>242</v>
      </c>
      <c r="G13" s="4"/>
      <c r="H13" s="5"/>
      <c r="I13" s="3">
        <v>20</v>
      </c>
      <c r="J13" s="4"/>
      <c r="K13" s="3">
        <f t="shared" si="0"/>
        <v>18</v>
      </c>
      <c r="L13" s="108">
        <v>180425</v>
      </c>
      <c r="M13" s="3"/>
      <c r="N13" s="1"/>
      <c r="O13" s="1">
        <f t="shared" si="1"/>
        <v>2026</v>
      </c>
      <c r="P13" s="8"/>
      <c r="Q13" s="102">
        <f t="shared" si="2"/>
        <v>9021.25</v>
      </c>
    </row>
    <row r="14" spans="1:17" ht="14.25" customHeight="1">
      <c r="A14" s="2">
        <v>7</v>
      </c>
      <c r="B14" t="s">
        <v>226</v>
      </c>
      <c r="C14" t="s">
        <v>243</v>
      </c>
      <c r="D14" t="s">
        <v>244</v>
      </c>
      <c r="E14">
        <v>2007</v>
      </c>
      <c r="F14" s="5" t="s">
        <v>222</v>
      </c>
      <c r="G14" s="4" t="s">
        <v>245</v>
      </c>
      <c r="H14" s="5"/>
      <c r="I14" s="3">
        <v>10</v>
      </c>
      <c r="J14" s="4"/>
      <c r="K14" s="3">
        <f t="shared" si="0"/>
        <v>17</v>
      </c>
      <c r="L14" s="108">
        <v>32000</v>
      </c>
      <c r="M14" s="3"/>
      <c r="N14" s="1"/>
      <c r="O14" s="121">
        <f t="shared" si="1"/>
        <v>2017</v>
      </c>
      <c r="P14" s="8"/>
      <c r="Q14" s="102">
        <f t="shared" si="2"/>
        <v>3200</v>
      </c>
    </row>
    <row r="15" spans="1:17" ht="14.25" customHeight="1">
      <c r="A15" s="2">
        <v>8</v>
      </c>
      <c r="B15" t="s">
        <v>226</v>
      </c>
      <c r="C15" t="s">
        <v>246</v>
      </c>
      <c r="D15" t="s">
        <v>247</v>
      </c>
      <c r="E15">
        <v>2011</v>
      </c>
      <c r="F15" s="5" t="s">
        <v>222</v>
      </c>
      <c r="G15" s="4" t="s">
        <v>248</v>
      </c>
      <c r="H15" s="5"/>
      <c r="I15" s="3">
        <v>10</v>
      </c>
      <c r="J15" s="4"/>
      <c r="K15" s="3">
        <f t="shared" si="0"/>
        <v>13</v>
      </c>
      <c r="L15" s="102">
        <v>21939</v>
      </c>
      <c r="M15" s="3"/>
      <c r="N15" s="1"/>
      <c r="O15" s="121">
        <f t="shared" si="1"/>
        <v>2021</v>
      </c>
      <c r="P15" s="8"/>
      <c r="Q15" s="102">
        <f t="shared" si="2"/>
        <v>2193.9</v>
      </c>
    </row>
    <row r="16" spans="1:17" ht="14.25" customHeight="1">
      <c r="A16" s="2">
        <v>9</v>
      </c>
      <c r="B16" t="s">
        <v>226</v>
      </c>
      <c r="C16" t="s">
        <v>249</v>
      </c>
      <c r="D16" t="s">
        <v>250</v>
      </c>
      <c r="E16">
        <v>2011</v>
      </c>
      <c r="F16" s="5" t="s">
        <v>251</v>
      </c>
      <c r="G16" s="4" t="s">
        <v>252</v>
      </c>
      <c r="H16" s="5"/>
      <c r="I16" s="3">
        <v>20</v>
      </c>
      <c r="J16" s="4"/>
      <c r="K16" s="3">
        <f t="shared" si="0"/>
        <v>13</v>
      </c>
      <c r="L16" s="102">
        <v>155175</v>
      </c>
      <c r="M16" s="3"/>
      <c r="N16" s="1"/>
      <c r="O16" s="1">
        <f t="shared" si="1"/>
        <v>2031</v>
      </c>
      <c r="P16" s="8"/>
      <c r="Q16" s="102">
        <f t="shared" si="2"/>
        <v>7758.75</v>
      </c>
    </row>
    <row r="17" spans="1:17" ht="14.25" customHeight="1">
      <c r="A17" s="2">
        <v>10</v>
      </c>
      <c r="B17" t="s">
        <v>226</v>
      </c>
      <c r="C17" t="s">
        <v>253</v>
      </c>
      <c r="D17" t="s">
        <v>250</v>
      </c>
      <c r="E17">
        <v>2013</v>
      </c>
      <c r="F17" s="5"/>
      <c r="G17" s="4"/>
      <c r="H17" s="5"/>
      <c r="I17" s="3">
        <v>20</v>
      </c>
      <c r="J17" s="4"/>
      <c r="K17" s="3">
        <f t="shared" si="0"/>
        <v>11</v>
      </c>
      <c r="L17" s="102">
        <v>200000</v>
      </c>
      <c r="M17" s="3"/>
      <c r="N17" s="1"/>
      <c r="O17" s="1">
        <f t="shared" si="1"/>
        <v>2033</v>
      </c>
      <c r="P17" s="8"/>
      <c r="Q17" s="102">
        <f t="shared" si="2"/>
        <v>10000</v>
      </c>
    </row>
    <row r="18" spans="1:17" ht="14.25" customHeight="1">
      <c r="A18" s="2">
        <v>11</v>
      </c>
      <c r="B18" t="s">
        <v>226</v>
      </c>
      <c r="C18" t="s">
        <v>254</v>
      </c>
      <c r="D18" t="s">
        <v>255</v>
      </c>
      <c r="E18">
        <v>2016</v>
      </c>
      <c r="F18" s="5" t="s">
        <v>256</v>
      </c>
      <c r="G18" s="4" t="s">
        <v>257</v>
      </c>
      <c r="H18" s="5"/>
      <c r="I18" s="3">
        <v>20</v>
      </c>
      <c r="J18" s="4"/>
      <c r="K18" s="3">
        <f t="shared" si="0"/>
        <v>8</v>
      </c>
      <c r="L18" s="108">
        <v>300000</v>
      </c>
      <c r="M18" s="3" t="s">
        <v>224</v>
      </c>
      <c r="N18" s="1"/>
      <c r="O18" s="1">
        <f t="shared" si="1"/>
        <v>2036</v>
      </c>
      <c r="P18" s="8"/>
      <c r="Q18" s="102">
        <f t="shared" si="2"/>
        <v>15000</v>
      </c>
    </row>
    <row r="19" spans="1:17" ht="14.25" customHeight="1">
      <c r="A19" s="2">
        <v>12</v>
      </c>
      <c r="B19" t="s">
        <v>226</v>
      </c>
      <c r="C19" t="s">
        <v>258</v>
      </c>
      <c r="D19" t="s">
        <v>259</v>
      </c>
      <c r="E19">
        <v>2018</v>
      </c>
      <c r="F19" s="5"/>
      <c r="G19" s="4"/>
      <c r="H19" s="5"/>
      <c r="I19" s="3">
        <v>10</v>
      </c>
      <c r="J19" s="4"/>
      <c r="K19" s="3">
        <f t="shared" si="0"/>
        <v>6</v>
      </c>
      <c r="L19" s="102">
        <v>8136</v>
      </c>
      <c r="M19" s="109"/>
      <c r="N19" s="1"/>
      <c r="O19" s="1">
        <f t="shared" si="1"/>
        <v>2028</v>
      </c>
      <c r="P19" s="8"/>
      <c r="Q19" s="102">
        <f t="shared" si="2"/>
        <v>813.6</v>
      </c>
    </row>
    <row r="20" spans="1:17" ht="14.25" customHeight="1">
      <c r="A20" s="2">
        <v>13</v>
      </c>
      <c r="B20" t="s">
        <v>226</v>
      </c>
      <c r="C20" t="s">
        <v>260</v>
      </c>
      <c r="D20" t="s">
        <v>261</v>
      </c>
      <c r="E20">
        <v>2019</v>
      </c>
      <c r="F20" s="5"/>
      <c r="G20" s="4"/>
      <c r="H20" s="5"/>
      <c r="I20" s="3">
        <v>10</v>
      </c>
      <c r="J20" s="4"/>
      <c r="K20" s="3">
        <f t="shared" si="0"/>
        <v>5</v>
      </c>
      <c r="L20" s="108">
        <v>38621</v>
      </c>
      <c r="M20" s="3"/>
      <c r="N20" s="1"/>
      <c r="O20" s="1">
        <f t="shared" si="1"/>
        <v>2029</v>
      </c>
      <c r="P20" s="8"/>
      <c r="Q20" s="102">
        <f t="shared" si="2"/>
        <v>3862.1</v>
      </c>
    </row>
    <row r="21" spans="1:17" ht="14.25" customHeight="1">
      <c r="A21" s="2">
        <v>14</v>
      </c>
      <c r="B21" t="s">
        <v>226</v>
      </c>
      <c r="C21" t="s">
        <v>262</v>
      </c>
      <c r="D21" t="s">
        <v>261</v>
      </c>
      <c r="E21" s="2">
        <v>2023</v>
      </c>
      <c r="I21" s="3">
        <v>10</v>
      </c>
      <c r="J21" s="4"/>
      <c r="K21" s="3">
        <f t="shared" si="0"/>
        <v>1</v>
      </c>
      <c r="L21" s="108">
        <v>60000</v>
      </c>
      <c r="M21" s="3" t="s">
        <v>224</v>
      </c>
      <c r="N21" s="1"/>
      <c r="O21" s="1">
        <f t="shared" si="1"/>
        <v>2033</v>
      </c>
      <c r="P21" s="8"/>
      <c r="Q21" s="102">
        <f t="shared" si="2"/>
        <v>6000</v>
      </c>
    </row>
    <row r="22" spans="1:17" ht="14.25" customHeight="1">
      <c r="A22" s="2">
        <v>15</v>
      </c>
      <c r="B22" t="s">
        <v>263</v>
      </c>
      <c r="C22" t="s">
        <v>264</v>
      </c>
      <c r="D22" t="s">
        <v>265</v>
      </c>
      <c r="E22">
        <v>1994</v>
      </c>
      <c r="F22" s="5"/>
      <c r="G22" s="4"/>
      <c r="H22" s="2"/>
      <c r="I22" s="3">
        <v>20</v>
      </c>
      <c r="J22" s="4"/>
      <c r="K22" s="3">
        <f t="shared" si="0"/>
        <v>30</v>
      </c>
      <c r="L22" s="102">
        <v>500000</v>
      </c>
      <c r="M22" s="3"/>
      <c r="N22" s="1"/>
      <c r="O22" s="121">
        <f t="shared" si="1"/>
        <v>2014</v>
      </c>
      <c r="P22" s="8"/>
      <c r="Q22" s="102">
        <f t="shared" si="2"/>
        <v>25000</v>
      </c>
    </row>
    <row r="23" spans="1:17" ht="14.25" customHeight="1">
      <c r="A23" s="2">
        <v>16</v>
      </c>
      <c r="B23" t="s">
        <v>263</v>
      </c>
      <c r="C23" t="s">
        <v>266</v>
      </c>
      <c r="D23" t="s">
        <v>267</v>
      </c>
      <c r="E23">
        <v>1997</v>
      </c>
      <c r="F23" s="5"/>
      <c r="G23" s="4"/>
      <c r="H23" s="2"/>
      <c r="I23" s="3">
        <v>10</v>
      </c>
      <c r="J23" s="4"/>
      <c r="K23" s="3">
        <f t="shared" si="0"/>
        <v>27</v>
      </c>
      <c r="L23" s="102">
        <v>20000</v>
      </c>
      <c r="M23" s="3"/>
      <c r="N23" s="1"/>
      <c r="O23" s="121">
        <f t="shared" si="1"/>
        <v>2007</v>
      </c>
      <c r="P23" s="3"/>
      <c r="Q23" s="102">
        <f t="shared" si="2"/>
        <v>2000</v>
      </c>
    </row>
    <row r="24" spans="1:17" ht="14.25" customHeight="1">
      <c r="A24" s="2">
        <v>17</v>
      </c>
      <c r="B24" t="s">
        <v>263</v>
      </c>
      <c r="C24" t="s">
        <v>268</v>
      </c>
      <c r="D24" t="s">
        <v>269</v>
      </c>
      <c r="E24">
        <v>2018</v>
      </c>
      <c r="F24" s="5"/>
      <c r="G24" s="4"/>
      <c r="H24" s="2"/>
      <c r="I24" s="3">
        <v>15</v>
      </c>
      <c r="J24" s="4"/>
      <c r="K24" s="3">
        <f t="shared" si="0"/>
        <v>6</v>
      </c>
      <c r="L24" s="102">
        <v>750</v>
      </c>
      <c r="M24" s="3"/>
      <c r="N24" s="1"/>
      <c r="O24" s="1">
        <f t="shared" si="1"/>
        <v>2033</v>
      </c>
      <c r="P24" s="3"/>
      <c r="Q24" s="102">
        <f t="shared" si="2"/>
        <v>50</v>
      </c>
    </row>
    <row r="25" spans="1:17" ht="14.25" customHeight="1">
      <c r="A25" s="2">
        <v>18</v>
      </c>
      <c r="B25" t="s">
        <v>263</v>
      </c>
      <c r="C25" t="s">
        <v>270</v>
      </c>
      <c r="D25" t="s">
        <v>271</v>
      </c>
      <c r="E25">
        <v>2019</v>
      </c>
      <c r="F25" s="5"/>
      <c r="G25" s="4"/>
      <c r="H25" s="2"/>
      <c r="I25" s="3">
        <v>20</v>
      </c>
      <c r="K25" s="3">
        <f t="shared" si="0"/>
        <v>5</v>
      </c>
      <c r="L25" s="110">
        <v>264000</v>
      </c>
      <c r="M25" s="3"/>
      <c r="N25" s="1"/>
      <c r="O25" s="1">
        <f t="shared" si="1"/>
        <v>2039</v>
      </c>
      <c r="P25" s="3"/>
      <c r="Q25" s="102">
        <f t="shared" si="2"/>
        <v>13200</v>
      </c>
    </row>
    <row r="26" spans="1:17" ht="14.25" customHeight="1">
      <c r="A26" s="2">
        <v>19</v>
      </c>
      <c r="B26" t="s">
        <v>263</v>
      </c>
      <c r="C26" t="s">
        <v>272</v>
      </c>
      <c r="D26" t="s">
        <v>273</v>
      </c>
      <c r="E26">
        <v>2020</v>
      </c>
      <c r="F26" s="5"/>
      <c r="G26" s="4"/>
      <c r="H26" s="2"/>
      <c r="I26" s="3">
        <v>15</v>
      </c>
      <c r="K26" s="3">
        <f t="shared" si="0"/>
        <v>4</v>
      </c>
      <c r="L26" s="110">
        <v>15800</v>
      </c>
      <c r="M26" s="3"/>
      <c r="N26" s="1"/>
      <c r="O26" s="1">
        <f t="shared" si="1"/>
        <v>2035</v>
      </c>
      <c r="P26" s="3"/>
      <c r="Q26" s="102">
        <f t="shared" si="2"/>
        <v>1053.3333333333333</v>
      </c>
    </row>
    <row r="27" spans="1:17" ht="14.25" customHeight="1">
      <c r="A27" s="104">
        <v>20</v>
      </c>
      <c r="B27" s="115" t="s">
        <v>263</v>
      </c>
      <c r="C27" s="115" t="s">
        <v>274</v>
      </c>
      <c r="D27" s="115" t="s">
        <v>275</v>
      </c>
      <c r="E27" s="115">
        <v>2022</v>
      </c>
      <c r="F27" s="116"/>
      <c r="G27" s="117"/>
      <c r="H27" s="104"/>
      <c r="I27" s="105">
        <v>15</v>
      </c>
      <c r="J27" s="105"/>
      <c r="K27" s="105">
        <f t="shared" si="0"/>
        <v>2</v>
      </c>
      <c r="L27" s="118">
        <v>3850</v>
      </c>
      <c r="M27" s="105"/>
      <c r="N27" s="112"/>
      <c r="O27" s="112">
        <f t="shared" si="1"/>
        <v>2037</v>
      </c>
      <c r="P27" s="105"/>
      <c r="Q27" s="106">
        <f t="shared" si="2"/>
        <v>256.66666666666669</v>
      </c>
    </row>
    <row r="28" spans="1:17" ht="14.25" customHeight="1">
      <c r="A28" s="97">
        <f>COUNT(A9:A27)</f>
        <v>19</v>
      </c>
      <c r="B28" s="2" t="s">
        <v>276</v>
      </c>
      <c r="K28" s="114">
        <f>MEDIAN(K9:K27)</f>
        <v>13</v>
      </c>
      <c r="L28" s="110">
        <f>SUM(L9:L27)</f>
        <v>2182807</v>
      </c>
      <c r="N28" s="2"/>
      <c r="O28" s="3"/>
      <c r="P28" s="3"/>
      <c r="Q28" s="102">
        <f>SUM(Q9:Q27)</f>
        <v>118515.15000000002</v>
      </c>
    </row>
    <row r="29" spans="1:17" ht="14.25" customHeight="1">
      <c r="L29" s="3"/>
      <c r="N29" s="2"/>
      <c r="O29" s="3"/>
      <c r="P29" s="3"/>
      <c r="Q29" s="102"/>
    </row>
    <row r="30" spans="1:17" ht="14.25" customHeight="1">
      <c r="L30" s="3"/>
      <c r="N30" s="2"/>
      <c r="O30" s="3"/>
      <c r="P30" s="3"/>
      <c r="Q30" s="102"/>
    </row>
    <row r="31" spans="1:17">
      <c r="A31" s="2">
        <v>21</v>
      </c>
      <c r="B31" t="s">
        <v>277</v>
      </c>
      <c r="C31" t="s">
        <v>278</v>
      </c>
      <c r="D31" t="s">
        <v>279</v>
      </c>
      <c r="E31">
        <v>1970</v>
      </c>
      <c r="F31" s="5"/>
      <c r="G31" s="4"/>
      <c r="H31" s="2"/>
      <c r="I31" s="3">
        <v>15</v>
      </c>
      <c r="K31" s="3">
        <f t="shared" si="0"/>
        <v>54</v>
      </c>
      <c r="L31" s="110">
        <v>20000</v>
      </c>
      <c r="M31" s="3"/>
      <c r="N31" s="1"/>
      <c r="O31" s="121">
        <f t="shared" ref="O31:O70" si="3">E31+I31</f>
        <v>1985</v>
      </c>
      <c r="P31" s="3"/>
      <c r="Q31" s="102">
        <f t="shared" si="2"/>
        <v>1333.3333333333333</v>
      </c>
    </row>
    <row r="32" spans="1:17">
      <c r="A32" s="2">
        <v>22</v>
      </c>
      <c r="B32" t="s">
        <v>277</v>
      </c>
      <c r="C32" t="s">
        <v>280</v>
      </c>
      <c r="D32" t="s">
        <v>281</v>
      </c>
      <c r="E32">
        <v>1980</v>
      </c>
      <c r="G32" s="4"/>
      <c r="H32" s="2"/>
      <c r="I32" s="3">
        <v>15</v>
      </c>
      <c r="K32" s="3">
        <f t="shared" si="0"/>
        <v>44</v>
      </c>
      <c r="L32" s="110">
        <v>3250</v>
      </c>
      <c r="M32" s="3"/>
      <c r="N32" s="1"/>
      <c r="O32" s="121">
        <f t="shared" si="3"/>
        <v>1995</v>
      </c>
      <c r="P32" s="3"/>
      <c r="Q32" s="102">
        <f t="shared" si="2"/>
        <v>216.66666666666666</v>
      </c>
    </row>
    <row r="33" spans="1:17">
      <c r="A33" s="2">
        <v>23</v>
      </c>
      <c r="B33" t="s">
        <v>277</v>
      </c>
      <c r="C33" t="s">
        <v>282</v>
      </c>
      <c r="D33" t="s">
        <v>283</v>
      </c>
      <c r="E33">
        <v>1988</v>
      </c>
      <c r="G33" s="4"/>
      <c r="H33" s="2"/>
      <c r="I33" s="3">
        <v>15</v>
      </c>
      <c r="K33" s="3">
        <f t="shared" si="0"/>
        <v>36</v>
      </c>
      <c r="L33" s="110">
        <v>36500</v>
      </c>
      <c r="M33" s="3"/>
      <c r="N33" s="1"/>
      <c r="O33" s="121">
        <f t="shared" si="3"/>
        <v>2003</v>
      </c>
      <c r="P33" s="3"/>
      <c r="Q33" s="102">
        <f t="shared" si="2"/>
        <v>2433.3333333333335</v>
      </c>
    </row>
    <row r="34" spans="1:17">
      <c r="A34" s="2">
        <v>24</v>
      </c>
      <c r="B34" t="s">
        <v>277</v>
      </c>
      <c r="C34" s="111">
        <v>11516</v>
      </c>
      <c r="D34" t="s">
        <v>284</v>
      </c>
      <c r="E34">
        <v>1989</v>
      </c>
      <c r="G34" s="4"/>
      <c r="H34" s="2"/>
      <c r="I34" s="3">
        <v>15</v>
      </c>
      <c r="K34" s="3">
        <f t="shared" si="0"/>
        <v>35</v>
      </c>
      <c r="L34" s="110">
        <v>2500</v>
      </c>
      <c r="M34" s="3"/>
      <c r="N34" s="1"/>
      <c r="O34" s="121">
        <f t="shared" si="3"/>
        <v>2004</v>
      </c>
      <c r="P34" s="3"/>
      <c r="Q34" s="102">
        <f t="shared" si="2"/>
        <v>166.66666666666666</v>
      </c>
    </row>
    <row r="35" spans="1:17">
      <c r="A35" s="2">
        <v>25</v>
      </c>
      <c r="B35" t="s">
        <v>277</v>
      </c>
      <c r="C35" t="s">
        <v>285</v>
      </c>
      <c r="D35" t="s">
        <v>286</v>
      </c>
      <c r="E35">
        <v>1989</v>
      </c>
      <c r="G35" s="4"/>
      <c r="H35" s="2"/>
      <c r="I35" s="3">
        <v>15</v>
      </c>
      <c r="K35" s="3">
        <f t="shared" si="0"/>
        <v>35</v>
      </c>
      <c r="L35" s="110">
        <v>0</v>
      </c>
      <c r="M35" s="3"/>
      <c r="N35" s="1"/>
      <c r="O35" s="121">
        <f t="shared" si="3"/>
        <v>2004</v>
      </c>
      <c r="P35" s="3"/>
      <c r="Q35" s="102">
        <f t="shared" si="2"/>
        <v>0</v>
      </c>
    </row>
    <row r="36" spans="1:17">
      <c r="A36" s="2">
        <v>26</v>
      </c>
      <c r="B36" t="s">
        <v>277</v>
      </c>
      <c r="C36" t="s">
        <v>287</v>
      </c>
      <c r="D36" t="s">
        <v>288</v>
      </c>
      <c r="E36">
        <v>1992</v>
      </c>
      <c r="H36" s="2"/>
      <c r="I36" s="3">
        <v>15</v>
      </c>
      <c r="K36" s="3">
        <f t="shared" si="0"/>
        <v>32</v>
      </c>
      <c r="L36" s="110">
        <v>20000</v>
      </c>
      <c r="M36" s="3"/>
      <c r="N36" s="1"/>
      <c r="O36" s="121">
        <f t="shared" si="3"/>
        <v>2007</v>
      </c>
      <c r="P36" s="3"/>
      <c r="Q36" s="102">
        <f t="shared" si="2"/>
        <v>1333.3333333333333</v>
      </c>
    </row>
    <row r="37" spans="1:17">
      <c r="A37" s="2">
        <v>27</v>
      </c>
      <c r="B37" t="s">
        <v>277</v>
      </c>
      <c r="C37" t="s">
        <v>289</v>
      </c>
      <c r="D37" t="s">
        <v>290</v>
      </c>
      <c r="E37">
        <v>1993</v>
      </c>
      <c r="H37" s="2"/>
      <c r="I37" s="3">
        <v>15</v>
      </c>
      <c r="K37" s="3">
        <f t="shared" si="0"/>
        <v>31</v>
      </c>
      <c r="L37" s="110">
        <v>5000</v>
      </c>
      <c r="M37" s="3"/>
      <c r="N37" s="1"/>
      <c r="O37" s="121">
        <f t="shared" si="3"/>
        <v>2008</v>
      </c>
      <c r="P37" s="3"/>
      <c r="Q37" s="102">
        <f t="shared" si="2"/>
        <v>333.33333333333331</v>
      </c>
    </row>
    <row r="38" spans="1:17">
      <c r="A38" s="2">
        <v>28</v>
      </c>
      <c r="B38" t="s">
        <v>277</v>
      </c>
      <c r="C38" t="s">
        <v>291</v>
      </c>
      <c r="D38" t="s">
        <v>292</v>
      </c>
      <c r="E38">
        <v>1994</v>
      </c>
      <c r="H38" s="2"/>
      <c r="I38" s="3">
        <v>15</v>
      </c>
      <c r="K38" s="3">
        <f t="shared" si="0"/>
        <v>30</v>
      </c>
      <c r="L38" s="110">
        <v>1000</v>
      </c>
      <c r="M38" s="3"/>
      <c r="N38" s="1"/>
      <c r="O38" s="121">
        <f t="shared" si="3"/>
        <v>2009</v>
      </c>
      <c r="P38" s="3"/>
      <c r="Q38" s="102">
        <f t="shared" si="2"/>
        <v>66.666666666666671</v>
      </c>
    </row>
    <row r="39" spans="1:17">
      <c r="A39" s="2">
        <v>29</v>
      </c>
      <c r="B39" t="s">
        <v>277</v>
      </c>
      <c r="C39" t="s">
        <v>293</v>
      </c>
      <c r="D39" t="s">
        <v>294</v>
      </c>
      <c r="E39">
        <v>1995</v>
      </c>
      <c r="H39" s="2"/>
      <c r="I39" s="3">
        <v>15</v>
      </c>
      <c r="K39" s="3">
        <f t="shared" si="0"/>
        <v>29</v>
      </c>
      <c r="L39" s="110">
        <v>20000</v>
      </c>
      <c r="M39" s="3"/>
      <c r="N39" s="2"/>
      <c r="O39" s="121">
        <f t="shared" si="3"/>
        <v>2010</v>
      </c>
      <c r="P39" s="3"/>
      <c r="Q39" s="102">
        <f t="shared" si="2"/>
        <v>1333.3333333333333</v>
      </c>
    </row>
    <row r="40" spans="1:17">
      <c r="A40" s="2">
        <v>30</v>
      </c>
      <c r="B40" t="s">
        <v>277</v>
      </c>
      <c r="C40" t="s">
        <v>295</v>
      </c>
      <c r="D40" t="s">
        <v>296</v>
      </c>
      <c r="E40">
        <v>1997</v>
      </c>
      <c r="H40" s="2"/>
      <c r="I40" s="3">
        <v>15</v>
      </c>
      <c r="K40" s="3">
        <f t="shared" si="0"/>
        <v>27</v>
      </c>
      <c r="L40" s="110">
        <v>19964</v>
      </c>
      <c r="M40" s="3"/>
      <c r="N40" s="2"/>
      <c r="O40" s="121">
        <f t="shared" si="3"/>
        <v>2012</v>
      </c>
      <c r="P40" s="3"/>
      <c r="Q40" s="102">
        <f t="shared" si="2"/>
        <v>1330.9333333333334</v>
      </c>
    </row>
    <row r="41" spans="1:17">
      <c r="A41" s="2">
        <v>31</v>
      </c>
      <c r="B41" t="s">
        <v>277</v>
      </c>
      <c r="C41" t="s">
        <v>297</v>
      </c>
      <c r="D41" t="s">
        <v>298</v>
      </c>
      <c r="E41">
        <v>1997</v>
      </c>
      <c r="H41" s="2"/>
      <c r="I41" s="3">
        <v>10</v>
      </c>
      <c r="K41" s="3">
        <f t="shared" si="0"/>
        <v>27</v>
      </c>
      <c r="L41" s="110">
        <v>200000</v>
      </c>
      <c r="M41" s="3"/>
      <c r="N41" s="2"/>
      <c r="O41" s="121">
        <f t="shared" si="3"/>
        <v>2007</v>
      </c>
      <c r="P41" s="3"/>
      <c r="Q41" s="102">
        <f t="shared" si="2"/>
        <v>20000</v>
      </c>
    </row>
    <row r="42" spans="1:17">
      <c r="A42" s="2">
        <v>32</v>
      </c>
      <c r="B42" t="s">
        <v>277</v>
      </c>
      <c r="C42" t="s">
        <v>299</v>
      </c>
      <c r="D42" t="s">
        <v>300</v>
      </c>
      <c r="E42">
        <v>1998</v>
      </c>
      <c r="H42" s="2"/>
      <c r="I42" s="3">
        <v>10</v>
      </c>
      <c r="K42" s="3">
        <f t="shared" si="0"/>
        <v>26</v>
      </c>
      <c r="L42" s="110">
        <v>22972</v>
      </c>
      <c r="M42" s="3"/>
      <c r="N42" s="2"/>
      <c r="O42" s="121">
        <f t="shared" si="3"/>
        <v>2008</v>
      </c>
      <c r="P42" s="3"/>
      <c r="Q42" s="102">
        <f t="shared" si="2"/>
        <v>2297.1999999999998</v>
      </c>
    </row>
    <row r="43" spans="1:17">
      <c r="A43" s="2">
        <v>33</v>
      </c>
      <c r="B43" t="s">
        <v>277</v>
      </c>
      <c r="C43" t="s">
        <v>301</v>
      </c>
      <c r="D43" t="s">
        <v>302</v>
      </c>
      <c r="E43">
        <v>1998</v>
      </c>
      <c r="H43" s="2"/>
      <c r="I43" s="3">
        <v>10</v>
      </c>
      <c r="K43" s="3">
        <f t="shared" si="0"/>
        <v>26</v>
      </c>
      <c r="L43" s="110">
        <v>90000</v>
      </c>
      <c r="M43" s="3"/>
      <c r="N43" s="2"/>
      <c r="O43" s="121">
        <f t="shared" si="3"/>
        <v>2008</v>
      </c>
      <c r="P43" s="3"/>
      <c r="Q43" s="102">
        <f t="shared" si="2"/>
        <v>9000</v>
      </c>
    </row>
    <row r="44" spans="1:17">
      <c r="A44" s="2">
        <v>34</v>
      </c>
      <c r="B44" t="s">
        <v>277</v>
      </c>
      <c r="C44" t="s">
        <v>303</v>
      </c>
      <c r="D44" t="s">
        <v>304</v>
      </c>
      <c r="E44">
        <v>2001</v>
      </c>
      <c r="H44" s="2"/>
      <c r="I44" s="3">
        <v>10</v>
      </c>
      <c r="K44" s="3">
        <f t="shared" si="0"/>
        <v>23</v>
      </c>
      <c r="L44" s="110">
        <v>30000</v>
      </c>
      <c r="M44" s="3"/>
      <c r="N44" s="2"/>
      <c r="O44" s="121">
        <f t="shared" si="3"/>
        <v>2011</v>
      </c>
      <c r="P44" s="3"/>
      <c r="Q44" s="102">
        <f t="shared" si="2"/>
        <v>3000</v>
      </c>
    </row>
    <row r="45" spans="1:17">
      <c r="A45" s="2">
        <v>35</v>
      </c>
      <c r="B45" t="s">
        <v>277</v>
      </c>
      <c r="C45" t="s">
        <v>305</v>
      </c>
      <c r="D45" t="s">
        <v>306</v>
      </c>
      <c r="E45">
        <v>2003</v>
      </c>
      <c r="H45" s="2"/>
      <c r="I45" s="3">
        <v>10</v>
      </c>
      <c r="K45" s="3">
        <f t="shared" si="0"/>
        <v>21</v>
      </c>
      <c r="L45" s="110">
        <v>63232</v>
      </c>
      <c r="M45" s="3"/>
      <c r="N45" s="2"/>
      <c r="O45" s="121">
        <f t="shared" si="3"/>
        <v>2013</v>
      </c>
      <c r="P45" s="3"/>
      <c r="Q45" s="102">
        <f t="shared" si="2"/>
        <v>6323.2</v>
      </c>
    </row>
    <row r="46" spans="1:17">
      <c r="A46" s="2">
        <v>36</v>
      </c>
      <c r="B46" t="s">
        <v>277</v>
      </c>
      <c r="C46" t="s">
        <v>307</v>
      </c>
      <c r="D46" t="s">
        <v>308</v>
      </c>
      <c r="E46">
        <v>2003</v>
      </c>
      <c r="H46" s="2"/>
      <c r="I46" s="3">
        <v>10</v>
      </c>
      <c r="K46" s="3">
        <f t="shared" si="0"/>
        <v>21</v>
      </c>
      <c r="L46" s="110">
        <v>65000</v>
      </c>
      <c r="M46" s="3"/>
      <c r="N46" s="2"/>
      <c r="O46" s="121">
        <f t="shared" si="3"/>
        <v>2013</v>
      </c>
      <c r="P46" s="3"/>
      <c r="Q46" s="102">
        <f t="shared" si="2"/>
        <v>6500</v>
      </c>
    </row>
    <row r="47" spans="1:17">
      <c r="A47" s="2">
        <v>37</v>
      </c>
      <c r="B47" t="s">
        <v>277</v>
      </c>
      <c r="C47" t="s">
        <v>309</v>
      </c>
      <c r="D47" t="s">
        <v>310</v>
      </c>
      <c r="E47">
        <v>2004</v>
      </c>
      <c r="H47" s="2"/>
      <c r="I47" s="3">
        <v>10</v>
      </c>
      <c r="K47" s="3">
        <f t="shared" si="0"/>
        <v>20</v>
      </c>
      <c r="L47" s="110">
        <v>50000</v>
      </c>
      <c r="M47" s="3"/>
      <c r="N47" s="2"/>
      <c r="O47" s="121">
        <f t="shared" si="3"/>
        <v>2014</v>
      </c>
      <c r="P47" s="3"/>
      <c r="Q47" s="102">
        <f t="shared" si="2"/>
        <v>5000</v>
      </c>
    </row>
    <row r="48" spans="1:17">
      <c r="A48" s="2">
        <v>38</v>
      </c>
      <c r="B48" t="s">
        <v>277</v>
      </c>
      <c r="C48" t="s">
        <v>311</v>
      </c>
      <c r="D48" t="s">
        <v>312</v>
      </c>
      <c r="E48">
        <v>2005</v>
      </c>
      <c r="H48" s="2"/>
      <c r="I48" s="3">
        <v>10</v>
      </c>
      <c r="K48" s="3">
        <f t="shared" si="0"/>
        <v>19</v>
      </c>
      <c r="L48" s="110">
        <v>26000</v>
      </c>
      <c r="M48" s="3"/>
      <c r="N48" s="2"/>
      <c r="O48" s="121">
        <f t="shared" si="3"/>
        <v>2015</v>
      </c>
      <c r="P48" s="3"/>
      <c r="Q48" s="102">
        <f t="shared" si="2"/>
        <v>2600</v>
      </c>
    </row>
    <row r="49" spans="1:17">
      <c r="A49" s="2">
        <v>39</v>
      </c>
      <c r="B49" t="s">
        <v>277</v>
      </c>
      <c r="C49" t="s">
        <v>313</v>
      </c>
      <c r="D49" t="s">
        <v>314</v>
      </c>
      <c r="E49">
        <v>2006</v>
      </c>
      <c r="H49" s="2"/>
      <c r="I49" s="3">
        <v>10</v>
      </c>
      <c r="K49" s="3">
        <f t="shared" si="0"/>
        <v>18</v>
      </c>
      <c r="L49" s="110">
        <v>30042</v>
      </c>
      <c r="M49" s="3"/>
      <c r="N49" s="2"/>
      <c r="O49" s="121">
        <f t="shared" si="3"/>
        <v>2016</v>
      </c>
      <c r="P49" s="3"/>
      <c r="Q49" s="102">
        <f t="shared" si="2"/>
        <v>3004.2</v>
      </c>
    </row>
    <row r="50" spans="1:17">
      <c r="A50" s="2">
        <v>40</v>
      </c>
      <c r="B50" t="s">
        <v>277</v>
      </c>
      <c r="C50" t="s">
        <v>315</v>
      </c>
      <c r="D50" t="s">
        <v>316</v>
      </c>
      <c r="E50">
        <v>2007</v>
      </c>
      <c r="H50" s="2"/>
      <c r="I50" s="3">
        <v>10</v>
      </c>
      <c r="K50" s="3">
        <f t="shared" si="0"/>
        <v>17</v>
      </c>
      <c r="L50" s="110">
        <v>97481</v>
      </c>
      <c r="M50" s="3"/>
      <c r="N50" s="2"/>
      <c r="O50" s="121">
        <f t="shared" si="3"/>
        <v>2017</v>
      </c>
      <c r="P50" s="3"/>
      <c r="Q50" s="102">
        <f t="shared" si="2"/>
        <v>9748.1</v>
      </c>
    </row>
    <row r="51" spans="1:17">
      <c r="A51" s="2">
        <v>41</v>
      </c>
      <c r="B51" t="s">
        <v>277</v>
      </c>
      <c r="C51" t="s">
        <v>317</v>
      </c>
      <c r="D51" t="s">
        <v>247</v>
      </c>
      <c r="E51">
        <v>2008</v>
      </c>
      <c r="H51" s="2"/>
      <c r="I51" s="3">
        <v>10</v>
      </c>
      <c r="K51" s="3">
        <f t="shared" si="0"/>
        <v>16</v>
      </c>
      <c r="L51" s="110">
        <v>19737</v>
      </c>
      <c r="M51" s="3"/>
      <c r="N51" s="2"/>
      <c r="O51" s="121">
        <f t="shared" si="3"/>
        <v>2018</v>
      </c>
      <c r="P51" s="3"/>
      <c r="Q51" s="102">
        <f t="shared" si="2"/>
        <v>1973.7</v>
      </c>
    </row>
    <row r="52" spans="1:17">
      <c r="A52" s="2">
        <v>42</v>
      </c>
      <c r="B52" t="s">
        <v>277</v>
      </c>
      <c r="C52" t="s">
        <v>318</v>
      </c>
      <c r="D52" t="s">
        <v>319</v>
      </c>
      <c r="E52">
        <v>2008</v>
      </c>
      <c r="H52" s="2"/>
      <c r="I52" s="3">
        <v>10</v>
      </c>
      <c r="K52" s="3">
        <f t="shared" si="0"/>
        <v>16</v>
      </c>
      <c r="L52" s="110">
        <v>34797</v>
      </c>
      <c r="M52" s="3"/>
      <c r="N52" s="2"/>
      <c r="O52" s="121">
        <f t="shared" si="3"/>
        <v>2018</v>
      </c>
      <c r="P52" s="3"/>
      <c r="Q52" s="102">
        <f t="shared" si="2"/>
        <v>3479.7</v>
      </c>
    </row>
    <row r="53" spans="1:17">
      <c r="A53" s="2">
        <v>43</v>
      </c>
      <c r="B53" t="s">
        <v>277</v>
      </c>
      <c r="C53" s="2" t="s">
        <v>320</v>
      </c>
      <c r="D53" s="111" t="s">
        <v>321</v>
      </c>
      <c r="E53" s="2">
        <v>2008</v>
      </c>
      <c r="I53" s="3">
        <v>10</v>
      </c>
      <c r="K53" s="3">
        <f t="shared" si="0"/>
        <v>16</v>
      </c>
      <c r="L53" s="110">
        <v>26000</v>
      </c>
      <c r="N53" s="2"/>
      <c r="O53" s="121">
        <f t="shared" si="3"/>
        <v>2018</v>
      </c>
      <c r="P53" s="3"/>
      <c r="Q53" s="102">
        <f t="shared" si="2"/>
        <v>2600</v>
      </c>
    </row>
    <row r="54" spans="1:17">
      <c r="A54" s="2">
        <v>44</v>
      </c>
      <c r="B54" t="s">
        <v>277</v>
      </c>
      <c r="C54" s="2" t="s">
        <v>322</v>
      </c>
      <c r="D54" s="111" t="s">
        <v>323</v>
      </c>
      <c r="E54" s="2">
        <v>2009</v>
      </c>
      <c r="I54" s="3">
        <v>10</v>
      </c>
      <c r="K54" s="3">
        <f t="shared" si="0"/>
        <v>15</v>
      </c>
      <c r="L54" s="110">
        <v>12150</v>
      </c>
      <c r="N54" s="2"/>
      <c r="O54" s="121">
        <f t="shared" si="3"/>
        <v>2019</v>
      </c>
      <c r="P54" s="3"/>
      <c r="Q54" s="102">
        <f t="shared" si="2"/>
        <v>1215</v>
      </c>
    </row>
    <row r="55" spans="1:17">
      <c r="A55" s="2">
        <v>45</v>
      </c>
      <c r="B55" t="s">
        <v>277</v>
      </c>
      <c r="C55" t="s">
        <v>324</v>
      </c>
      <c r="D55" t="s">
        <v>325</v>
      </c>
      <c r="E55">
        <v>2009</v>
      </c>
      <c r="H55" s="2"/>
      <c r="I55" s="3">
        <v>10</v>
      </c>
      <c r="K55" s="3">
        <f t="shared" si="0"/>
        <v>15</v>
      </c>
      <c r="L55" s="110">
        <v>5800</v>
      </c>
      <c r="M55" s="3"/>
      <c r="N55" s="2"/>
      <c r="O55" s="121">
        <f t="shared" si="3"/>
        <v>2019</v>
      </c>
      <c r="P55" s="3"/>
      <c r="Q55" s="102">
        <f t="shared" si="2"/>
        <v>580</v>
      </c>
    </row>
    <row r="56" spans="1:17">
      <c r="A56" s="2">
        <v>46</v>
      </c>
      <c r="B56" t="s">
        <v>277</v>
      </c>
      <c r="C56" t="s">
        <v>326</v>
      </c>
      <c r="D56" t="s">
        <v>327</v>
      </c>
      <c r="E56">
        <v>2011</v>
      </c>
      <c r="H56" s="2"/>
      <c r="I56" s="3">
        <v>10</v>
      </c>
      <c r="K56" s="3">
        <f t="shared" si="0"/>
        <v>13</v>
      </c>
      <c r="L56" s="113">
        <v>127800</v>
      </c>
      <c r="M56" s="3"/>
      <c r="N56" s="2"/>
      <c r="O56" s="121">
        <f t="shared" si="3"/>
        <v>2021</v>
      </c>
      <c r="P56" s="3"/>
      <c r="Q56" s="102">
        <f t="shared" si="2"/>
        <v>12780</v>
      </c>
    </row>
    <row r="57" spans="1:17">
      <c r="A57" s="2">
        <v>47</v>
      </c>
      <c r="B57" t="s">
        <v>277</v>
      </c>
      <c r="C57" t="s">
        <v>328</v>
      </c>
      <c r="D57" t="s">
        <v>304</v>
      </c>
      <c r="E57">
        <v>2013</v>
      </c>
      <c r="H57" s="2"/>
      <c r="I57" s="3">
        <v>10</v>
      </c>
      <c r="K57" s="3">
        <f t="shared" si="0"/>
        <v>11</v>
      </c>
      <c r="L57" s="113">
        <v>43000</v>
      </c>
      <c r="M57" s="3"/>
      <c r="N57" s="2"/>
      <c r="O57" s="121">
        <f t="shared" si="3"/>
        <v>2023</v>
      </c>
      <c r="P57" s="3"/>
      <c r="Q57" s="102">
        <f t="shared" si="2"/>
        <v>4300</v>
      </c>
    </row>
    <row r="58" spans="1:17">
      <c r="A58" s="2">
        <v>48</v>
      </c>
      <c r="B58" t="s">
        <v>277</v>
      </c>
      <c r="C58" t="s">
        <v>329</v>
      </c>
      <c r="D58" t="s">
        <v>330</v>
      </c>
      <c r="E58">
        <v>2013</v>
      </c>
      <c r="H58" s="2"/>
      <c r="I58" s="3">
        <v>10</v>
      </c>
      <c r="K58" s="3">
        <f t="shared" si="0"/>
        <v>11</v>
      </c>
      <c r="L58" s="110">
        <v>26539</v>
      </c>
      <c r="M58" s="3"/>
      <c r="N58" s="2"/>
      <c r="O58" s="121">
        <f t="shared" si="3"/>
        <v>2023</v>
      </c>
      <c r="P58" s="3"/>
      <c r="Q58" s="102">
        <f t="shared" si="2"/>
        <v>2653.9</v>
      </c>
    </row>
    <row r="59" spans="1:17">
      <c r="A59" s="2">
        <v>49</v>
      </c>
      <c r="B59" t="s">
        <v>277</v>
      </c>
      <c r="C59" t="s">
        <v>331</v>
      </c>
      <c r="D59" t="s">
        <v>332</v>
      </c>
      <c r="E59">
        <v>2014</v>
      </c>
      <c r="H59" s="2"/>
      <c r="I59" s="3">
        <v>15</v>
      </c>
      <c r="K59" s="3">
        <f t="shared" si="0"/>
        <v>10</v>
      </c>
      <c r="L59" s="110">
        <v>9000</v>
      </c>
      <c r="M59" s="3"/>
      <c r="N59" s="2"/>
      <c r="O59" s="1">
        <f t="shared" si="3"/>
        <v>2029</v>
      </c>
      <c r="P59" s="3"/>
      <c r="Q59" s="102">
        <f t="shared" si="2"/>
        <v>600</v>
      </c>
    </row>
    <row r="60" spans="1:17">
      <c r="A60" s="2">
        <v>50</v>
      </c>
      <c r="B60" t="s">
        <v>277</v>
      </c>
      <c r="C60" t="s">
        <v>333</v>
      </c>
      <c r="D60" t="s">
        <v>334</v>
      </c>
      <c r="E60">
        <v>2016</v>
      </c>
      <c r="H60" s="2"/>
      <c r="I60" s="3">
        <v>10</v>
      </c>
      <c r="K60" s="3">
        <f t="shared" si="0"/>
        <v>8</v>
      </c>
      <c r="L60" s="113">
        <v>149835</v>
      </c>
      <c r="M60" s="3"/>
      <c r="N60" s="2"/>
      <c r="O60" s="1">
        <f t="shared" si="3"/>
        <v>2026</v>
      </c>
      <c r="P60" s="3"/>
      <c r="Q60" s="102">
        <f t="shared" si="2"/>
        <v>14983.5</v>
      </c>
    </row>
    <row r="61" spans="1:17">
      <c r="A61" s="2">
        <v>51</v>
      </c>
      <c r="B61" t="s">
        <v>277</v>
      </c>
      <c r="C61" t="s">
        <v>335</v>
      </c>
      <c r="D61" t="s">
        <v>267</v>
      </c>
      <c r="E61">
        <v>2019</v>
      </c>
      <c r="H61" s="2"/>
      <c r="I61" s="3">
        <v>10</v>
      </c>
      <c r="K61" s="3">
        <f t="shared" si="0"/>
        <v>5</v>
      </c>
      <c r="L61" s="110">
        <v>53700</v>
      </c>
      <c r="M61" s="3"/>
      <c r="N61" s="2"/>
      <c r="O61" s="1">
        <f t="shared" si="3"/>
        <v>2029</v>
      </c>
      <c r="P61" s="3"/>
      <c r="Q61" s="102">
        <f t="shared" si="2"/>
        <v>5370</v>
      </c>
    </row>
    <row r="62" spans="1:17">
      <c r="A62" s="2">
        <v>52</v>
      </c>
      <c r="B62" t="s">
        <v>277</v>
      </c>
      <c r="C62" t="s">
        <v>336</v>
      </c>
      <c r="D62" t="s">
        <v>267</v>
      </c>
      <c r="E62">
        <v>2019</v>
      </c>
      <c r="H62" s="2"/>
      <c r="I62" s="3">
        <v>10</v>
      </c>
      <c r="K62" s="3">
        <f t="shared" si="0"/>
        <v>5</v>
      </c>
      <c r="L62" s="113">
        <v>30689</v>
      </c>
      <c r="M62" s="3"/>
      <c r="N62" s="2"/>
      <c r="O62" s="1">
        <f t="shared" si="3"/>
        <v>2029</v>
      </c>
      <c r="P62" s="3"/>
      <c r="Q62" s="102">
        <f t="shared" si="2"/>
        <v>3068.9</v>
      </c>
    </row>
    <row r="63" spans="1:17">
      <c r="A63" s="2">
        <v>53</v>
      </c>
      <c r="B63" t="s">
        <v>277</v>
      </c>
      <c r="C63" t="s">
        <v>337</v>
      </c>
      <c r="D63" t="s">
        <v>338</v>
      </c>
      <c r="E63">
        <v>2020</v>
      </c>
      <c r="H63" s="2"/>
      <c r="I63" s="3">
        <v>10</v>
      </c>
      <c r="K63" s="3">
        <f t="shared" si="0"/>
        <v>4</v>
      </c>
      <c r="L63" s="113">
        <v>159763</v>
      </c>
      <c r="M63" s="3"/>
      <c r="N63" s="2"/>
      <c r="O63" s="1">
        <f t="shared" si="3"/>
        <v>2030</v>
      </c>
      <c r="P63" s="3"/>
      <c r="Q63" s="102">
        <f t="shared" si="2"/>
        <v>15976.3</v>
      </c>
    </row>
    <row r="64" spans="1:17">
      <c r="A64" s="2">
        <v>54</v>
      </c>
      <c r="B64" t="s">
        <v>277</v>
      </c>
      <c r="C64" t="s">
        <v>339</v>
      </c>
      <c r="D64" t="s">
        <v>340</v>
      </c>
      <c r="E64">
        <v>2020</v>
      </c>
      <c r="H64" s="2"/>
      <c r="I64" s="3">
        <v>10</v>
      </c>
      <c r="K64" s="3">
        <f t="shared" si="0"/>
        <v>4</v>
      </c>
      <c r="L64" s="110">
        <v>67150</v>
      </c>
      <c r="M64" s="3"/>
      <c r="N64" s="2"/>
      <c r="O64" s="1">
        <f t="shared" si="3"/>
        <v>2030</v>
      </c>
      <c r="P64" s="3"/>
      <c r="Q64" s="102">
        <f t="shared" si="2"/>
        <v>6715</v>
      </c>
    </row>
    <row r="65" spans="1:17">
      <c r="A65" s="2">
        <v>55</v>
      </c>
      <c r="B65" t="s">
        <v>277</v>
      </c>
      <c r="C65" t="s">
        <v>341</v>
      </c>
      <c r="D65" t="s">
        <v>342</v>
      </c>
      <c r="E65">
        <v>2022</v>
      </c>
      <c r="H65" s="2"/>
      <c r="I65" s="3">
        <v>10</v>
      </c>
      <c r="K65" s="3">
        <f t="shared" si="0"/>
        <v>2</v>
      </c>
      <c r="L65" s="110">
        <v>12500</v>
      </c>
      <c r="M65" s="3"/>
      <c r="N65" s="2"/>
      <c r="O65" s="1">
        <f t="shared" si="3"/>
        <v>2032</v>
      </c>
      <c r="P65" s="3"/>
      <c r="Q65" s="102">
        <f t="shared" si="2"/>
        <v>1250</v>
      </c>
    </row>
    <row r="66" spans="1:17">
      <c r="A66" s="2">
        <v>56</v>
      </c>
      <c r="B66" t="s">
        <v>277</v>
      </c>
      <c r="C66" t="s">
        <v>343</v>
      </c>
      <c r="D66" t="s">
        <v>344</v>
      </c>
      <c r="E66">
        <v>2022</v>
      </c>
      <c r="H66" s="2"/>
      <c r="I66" s="3">
        <v>10</v>
      </c>
      <c r="K66" s="3">
        <f t="shared" si="0"/>
        <v>2</v>
      </c>
      <c r="L66" s="113">
        <v>164950</v>
      </c>
      <c r="M66" s="3"/>
      <c r="N66" s="2"/>
      <c r="O66" s="1">
        <f t="shared" si="3"/>
        <v>2032</v>
      </c>
      <c r="P66" s="3"/>
      <c r="Q66" s="102">
        <f t="shared" si="2"/>
        <v>16495</v>
      </c>
    </row>
    <row r="67" spans="1:17">
      <c r="A67" s="2">
        <v>57</v>
      </c>
      <c r="B67" t="s">
        <v>277</v>
      </c>
      <c r="C67" t="s">
        <v>345</v>
      </c>
      <c r="D67" t="s">
        <v>346</v>
      </c>
      <c r="E67">
        <v>2022</v>
      </c>
      <c r="H67" s="2"/>
      <c r="I67" s="3">
        <v>10</v>
      </c>
      <c r="K67" s="3">
        <f t="shared" si="0"/>
        <v>2</v>
      </c>
      <c r="L67" s="113">
        <v>269175</v>
      </c>
      <c r="M67" s="3"/>
      <c r="N67" s="2"/>
      <c r="O67" s="1">
        <f t="shared" si="3"/>
        <v>2032</v>
      </c>
      <c r="P67" s="3"/>
      <c r="Q67" s="102">
        <f t="shared" si="2"/>
        <v>26917.5</v>
      </c>
    </row>
    <row r="68" spans="1:17">
      <c r="A68" s="2">
        <v>58</v>
      </c>
      <c r="B68" t="s">
        <v>277</v>
      </c>
      <c r="C68" s="2" t="s">
        <v>347</v>
      </c>
      <c r="D68" s="8" t="s">
        <v>348</v>
      </c>
      <c r="E68" s="2">
        <v>2024</v>
      </c>
      <c r="I68" s="3">
        <v>10</v>
      </c>
      <c r="K68" s="3">
        <f t="shared" si="0"/>
        <v>0</v>
      </c>
      <c r="L68" s="113">
        <v>246940</v>
      </c>
      <c r="N68" s="2"/>
      <c r="O68" s="97">
        <f t="shared" si="3"/>
        <v>2034</v>
      </c>
      <c r="P68" s="3"/>
      <c r="Q68" s="102">
        <f t="shared" si="2"/>
        <v>24694</v>
      </c>
    </row>
    <row r="69" spans="1:17">
      <c r="A69" s="2">
        <v>59</v>
      </c>
      <c r="B69" t="s">
        <v>277</v>
      </c>
      <c r="C69" t="s">
        <v>349</v>
      </c>
      <c r="D69" s="8" t="s">
        <v>348</v>
      </c>
      <c r="E69">
        <v>2024</v>
      </c>
      <c r="H69" s="2"/>
      <c r="I69" s="3">
        <v>10</v>
      </c>
      <c r="K69" s="3">
        <f t="shared" si="0"/>
        <v>0</v>
      </c>
      <c r="L69" s="113">
        <v>246940</v>
      </c>
      <c r="M69" s="3"/>
      <c r="N69" s="2"/>
      <c r="O69" s="1">
        <f t="shared" si="3"/>
        <v>2034</v>
      </c>
      <c r="P69" s="3"/>
      <c r="Q69" s="102">
        <f t="shared" si="2"/>
        <v>24694</v>
      </c>
    </row>
    <row r="70" spans="1:17">
      <c r="A70" s="104">
        <v>60</v>
      </c>
      <c r="B70" s="104" t="s">
        <v>277</v>
      </c>
      <c r="C70" s="104" t="s">
        <v>350</v>
      </c>
      <c r="D70" s="119" t="s">
        <v>351</v>
      </c>
      <c r="E70" s="104">
        <v>2023</v>
      </c>
      <c r="F70" s="104"/>
      <c r="G70" s="104"/>
      <c r="H70" s="105"/>
      <c r="I70" s="105">
        <v>10</v>
      </c>
      <c r="J70" s="105"/>
      <c r="K70" s="105">
        <f t="shared" si="0"/>
        <v>1</v>
      </c>
      <c r="L70" s="120">
        <v>79078</v>
      </c>
      <c r="M70" s="104"/>
      <c r="N70" s="105"/>
      <c r="O70" s="104">
        <f t="shared" si="3"/>
        <v>2033</v>
      </c>
      <c r="P70" s="105"/>
      <c r="Q70" s="106">
        <f t="shared" ref="Q70:Q106" si="4">L70/I70</f>
        <v>7907.8</v>
      </c>
    </row>
    <row r="71" spans="1:17">
      <c r="A71" s="2">
        <f>COUNT(A31:A70)</f>
        <v>40</v>
      </c>
      <c r="B71" s="2" t="s">
        <v>352</v>
      </c>
      <c r="K71" s="3">
        <f>MEDIAN(K31:K70)</f>
        <v>16.5</v>
      </c>
      <c r="L71" s="102">
        <f>SUM(L31:L70)</f>
        <v>2588484</v>
      </c>
      <c r="P71" s="3"/>
      <c r="Q71" s="102">
        <f>SUM(Q31:Q70)</f>
        <v>254274.59999999998</v>
      </c>
    </row>
    <row r="72" spans="1:17">
      <c r="P72" s="3"/>
      <c r="Q72" s="102"/>
    </row>
    <row r="73" spans="1:17">
      <c r="P73" s="3"/>
      <c r="Q73" s="102"/>
    </row>
    <row r="74" spans="1:17">
      <c r="A74" s="2">
        <v>61</v>
      </c>
      <c r="B74" t="s">
        <v>353</v>
      </c>
      <c r="C74"/>
      <c r="D74" t="s">
        <v>354</v>
      </c>
      <c r="E74">
        <v>2007</v>
      </c>
      <c r="H74" s="2"/>
      <c r="I74" s="3">
        <v>10</v>
      </c>
      <c r="K74" s="3">
        <f t="shared" ref="K74:K91" si="5">2024-E74</f>
        <v>17</v>
      </c>
      <c r="L74" s="110">
        <v>8100</v>
      </c>
      <c r="M74" s="3"/>
      <c r="N74" s="2"/>
      <c r="O74" s="121">
        <f t="shared" ref="O74:O91" si="6">E74+I74</f>
        <v>2017</v>
      </c>
      <c r="P74" s="3"/>
      <c r="Q74" s="102">
        <f t="shared" si="4"/>
        <v>810</v>
      </c>
    </row>
    <row r="75" spans="1:17">
      <c r="A75" s="2">
        <v>62</v>
      </c>
      <c r="B75" t="s">
        <v>353</v>
      </c>
      <c r="C75" t="s">
        <v>355</v>
      </c>
      <c r="D75" t="s">
        <v>356</v>
      </c>
      <c r="E75">
        <v>2009</v>
      </c>
      <c r="H75" s="2"/>
      <c r="I75" s="3">
        <v>10</v>
      </c>
      <c r="K75" s="3">
        <f t="shared" si="5"/>
        <v>15</v>
      </c>
      <c r="L75" s="110">
        <v>15000</v>
      </c>
      <c r="M75" s="3"/>
      <c r="N75" s="2"/>
      <c r="O75" s="121">
        <f t="shared" si="6"/>
        <v>2019</v>
      </c>
      <c r="P75" s="3"/>
      <c r="Q75" s="102">
        <f t="shared" si="4"/>
        <v>1500</v>
      </c>
    </row>
    <row r="76" spans="1:17">
      <c r="A76" s="2">
        <v>63</v>
      </c>
      <c r="B76" t="s">
        <v>353</v>
      </c>
      <c r="C76" t="s">
        <v>357</v>
      </c>
      <c r="D76" t="s">
        <v>358</v>
      </c>
      <c r="E76">
        <v>2011</v>
      </c>
      <c r="H76" s="2"/>
      <c r="I76" s="3">
        <v>10</v>
      </c>
      <c r="K76" s="3">
        <f t="shared" si="5"/>
        <v>13</v>
      </c>
      <c r="L76" s="113">
        <v>37000</v>
      </c>
      <c r="M76" s="3"/>
      <c r="N76" s="2"/>
      <c r="O76" s="121">
        <f t="shared" si="6"/>
        <v>2021</v>
      </c>
      <c r="P76" s="3"/>
      <c r="Q76" s="102">
        <f t="shared" si="4"/>
        <v>3700</v>
      </c>
    </row>
    <row r="77" spans="1:17">
      <c r="A77" s="2">
        <v>64</v>
      </c>
      <c r="B77" t="s">
        <v>353</v>
      </c>
      <c r="C77" t="s">
        <v>359</v>
      </c>
      <c r="D77" t="s">
        <v>360</v>
      </c>
      <c r="E77">
        <v>2013</v>
      </c>
      <c r="H77" s="2"/>
      <c r="I77" s="3">
        <v>10</v>
      </c>
      <c r="K77" s="3">
        <f t="shared" si="5"/>
        <v>11</v>
      </c>
      <c r="L77" s="113">
        <v>36235</v>
      </c>
      <c r="M77" s="3"/>
      <c r="N77" s="2"/>
      <c r="O77" s="121">
        <f t="shared" si="6"/>
        <v>2023</v>
      </c>
      <c r="P77" s="3"/>
      <c r="Q77" s="102">
        <f t="shared" si="4"/>
        <v>3623.5</v>
      </c>
    </row>
    <row r="78" spans="1:17">
      <c r="A78" s="2">
        <v>65</v>
      </c>
      <c r="B78" t="s">
        <v>353</v>
      </c>
      <c r="C78" t="s">
        <v>361</v>
      </c>
      <c r="D78" t="s">
        <v>362</v>
      </c>
      <c r="E78">
        <v>2013</v>
      </c>
      <c r="H78" s="2"/>
      <c r="I78" s="3">
        <v>10</v>
      </c>
      <c r="K78" s="3">
        <f t="shared" si="5"/>
        <v>11</v>
      </c>
      <c r="L78" s="113">
        <v>40229</v>
      </c>
      <c r="M78" s="3"/>
      <c r="N78" s="2"/>
      <c r="O78" s="121">
        <f t="shared" si="6"/>
        <v>2023</v>
      </c>
      <c r="P78" s="3"/>
      <c r="Q78" s="102">
        <f t="shared" si="4"/>
        <v>4022.9</v>
      </c>
    </row>
    <row r="79" spans="1:17">
      <c r="A79" s="2">
        <v>66</v>
      </c>
      <c r="B79" t="s">
        <v>353</v>
      </c>
      <c r="C79" t="s">
        <v>363</v>
      </c>
      <c r="D79" t="s">
        <v>362</v>
      </c>
      <c r="E79">
        <v>2013</v>
      </c>
      <c r="H79" s="2"/>
      <c r="I79" s="3">
        <v>10</v>
      </c>
      <c r="K79" s="3">
        <f t="shared" si="5"/>
        <v>11</v>
      </c>
      <c r="L79" s="113">
        <v>40229</v>
      </c>
      <c r="M79" s="3"/>
      <c r="N79" s="2"/>
      <c r="O79" s="121">
        <f t="shared" si="6"/>
        <v>2023</v>
      </c>
      <c r="P79" s="3"/>
      <c r="Q79" s="102">
        <f t="shared" si="4"/>
        <v>4022.9</v>
      </c>
    </row>
    <row r="80" spans="1:17">
      <c r="A80" s="2">
        <v>67</v>
      </c>
      <c r="B80" t="s">
        <v>353</v>
      </c>
      <c r="C80" t="s">
        <v>364</v>
      </c>
      <c r="D80" t="s">
        <v>365</v>
      </c>
      <c r="E80">
        <v>2016</v>
      </c>
      <c r="H80" s="2"/>
      <c r="I80" s="3">
        <v>10</v>
      </c>
      <c r="K80" s="3">
        <f t="shared" si="5"/>
        <v>8</v>
      </c>
      <c r="L80" s="113">
        <v>51735</v>
      </c>
      <c r="M80" s="3"/>
      <c r="N80" s="2"/>
      <c r="O80" s="1">
        <f t="shared" si="6"/>
        <v>2026</v>
      </c>
      <c r="P80" s="3"/>
      <c r="Q80" s="102">
        <f t="shared" si="4"/>
        <v>5173.5</v>
      </c>
    </row>
    <row r="81" spans="1:17">
      <c r="A81" s="2">
        <v>68</v>
      </c>
      <c r="B81" t="s">
        <v>353</v>
      </c>
      <c r="C81" t="s">
        <v>366</v>
      </c>
      <c r="D81" t="s">
        <v>362</v>
      </c>
      <c r="E81">
        <v>2017</v>
      </c>
      <c r="H81" s="2"/>
      <c r="I81" s="3">
        <v>10</v>
      </c>
      <c r="K81" s="3">
        <f t="shared" si="5"/>
        <v>7</v>
      </c>
      <c r="L81" s="113">
        <v>45670</v>
      </c>
      <c r="M81" s="3"/>
      <c r="N81" s="2"/>
      <c r="O81" s="1">
        <f t="shared" si="6"/>
        <v>2027</v>
      </c>
      <c r="P81" s="3"/>
      <c r="Q81" s="102">
        <f t="shared" si="4"/>
        <v>4567</v>
      </c>
    </row>
    <row r="82" spans="1:17">
      <c r="A82" s="2">
        <v>69</v>
      </c>
      <c r="B82" t="s">
        <v>353</v>
      </c>
      <c r="C82" t="s">
        <v>367</v>
      </c>
      <c r="D82" t="s">
        <v>362</v>
      </c>
      <c r="E82">
        <v>2019</v>
      </c>
      <c r="H82" s="2"/>
      <c r="I82" s="3">
        <v>10</v>
      </c>
      <c r="K82" s="3">
        <f t="shared" si="5"/>
        <v>5</v>
      </c>
      <c r="L82" s="113">
        <v>48463</v>
      </c>
      <c r="M82" s="3"/>
      <c r="N82" s="2"/>
      <c r="O82" s="1">
        <f t="shared" si="6"/>
        <v>2029</v>
      </c>
      <c r="P82" s="3"/>
      <c r="Q82" s="102">
        <f t="shared" si="4"/>
        <v>4846.3</v>
      </c>
    </row>
    <row r="83" spans="1:17">
      <c r="A83" s="2">
        <v>70</v>
      </c>
      <c r="B83" t="s">
        <v>353</v>
      </c>
      <c r="C83" t="s">
        <v>368</v>
      </c>
      <c r="D83" t="s">
        <v>362</v>
      </c>
      <c r="E83">
        <v>2019</v>
      </c>
      <c r="H83" s="2"/>
      <c r="I83" s="3">
        <v>10</v>
      </c>
      <c r="K83" s="3">
        <f t="shared" si="5"/>
        <v>5</v>
      </c>
      <c r="L83" s="113">
        <v>48463</v>
      </c>
      <c r="M83" s="3"/>
      <c r="N83" s="2"/>
      <c r="O83" s="1">
        <f t="shared" si="6"/>
        <v>2029</v>
      </c>
      <c r="P83" s="3"/>
      <c r="Q83" s="102">
        <f t="shared" si="4"/>
        <v>4846.3</v>
      </c>
    </row>
    <row r="84" spans="1:17">
      <c r="A84" s="2">
        <v>71</v>
      </c>
      <c r="B84" t="s">
        <v>353</v>
      </c>
      <c r="C84" t="s">
        <v>369</v>
      </c>
      <c r="D84" t="s">
        <v>362</v>
      </c>
      <c r="E84">
        <v>2019</v>
      </c>
      <c r="H84" s="2"/>
      <c r="I84" s="3">
        <v>10</v>
      </c>
      <c r="K84" s="3">
        <f t="shared" si="5"/>
        <v>5</v>
      </c>
      <c r="L84" s="113">
        <v>48463</v>
      </c>
      <c r="M84" s="3"/>
      <c r="N84" s="2"/>
      <c r="O84" s="1">
        <f t="shared" si="6"/>
        <v>2029</v>
      </c>
      <c r="P84" s="3"/>
      <c r="Q84" s="102">
        <f t="shared" si="4"/>
        <v>4846.3</v>
      </c>
    </row>
    <row r="85" spans="1:17">
      <c r="A85" s="2">
        <v>72</v>
      </c>
      <c r="B85" t="s">
        <v>353</v>
      </c>
      <c r="C85" t="s">
        <v>370</v>
      </c>
      <c r="D85" t="s">
        <v>362</v>
      </c>
      <c r="E85">
        <v>2019</v>
      </c>
      <c r="H85" s="2"/>
      <c r="I85" s="3">
        <v>10</v>
      </c>
      <c r="K85" s="3">
        <f t="shared" si="5"/>
        <v>5</v>
      </c>
      <c r="L85" s="113">
        <v>42396</v>
      </c>
      <c r="M85" s="3"/>
      <c r="N85" s="2"/>
      <c r="O85" s="1">
        <f t="shared" si="6"/>
        <v>2029</v>
      </c>
      <c r="P85" s="3"/>
      <c r="Q85" s="102">
        <f t="shared" si="4"/>
        <v>4239.6000000000004</v>
      </c>
    </row>
    <row r="86" spans="1:17">
      <c r="A86" s="2">
        <v>73</v>
      </c>
      <c r="B86" t="s">
        <v>353</v>
      </c>
      <c r="C86" t="s">
        <v>371</v>
      </c>
      <c r="D86" t="s">
        <v>372</v>
      </c>
      <c r="E86">
        <v>2020</v>
      </c>
      <c r="H86" s="2"/>
      <c r="I86" s="3">
        <v>10</v>
      </c>
      <c r="K86" s="3">
        <f t="shared" si="5"/>
        <v>4</v>
      </c>
      <c r="L86" s="110">
        <v>9500</v>
      </c>
      <c r="M86" s="3"/>
      <c r="N86" s="2"/>
      <c r="O86" s="1">
        <f t="shared" si="6"/>
        <v>2030</v>
      </c>
      <c r="P86" s="3"/>
      <c r="Q86" s="102">
        <f t="shared" si="4"/>
        <v>950</v>
      </c>
    </row>
    <row r="87" spans="1:17">
      <c r="A87" s="2">
        <v>74</v>
      </c>
      <c r="B87" t="s">
        <v>353</v>
      </c>
      <c r="C87" t="s">
        <v>373</v>
      </c>
      <c r="D87" t="s">
        <v>362</v>
      </c>
      <c r="E87">
        <v>2020</v>
      </c>
      <c r="H87" s="2"/>
      <c r="I87" s="3">
        <v>10</v>
      </c>
      <c r="K87" s="3">
        <f t="shared" si="5"/>
        <v>4</v>
      </c>
      <c r="L87" s="113">
        <v>56560</v>
      </c>
      <c r="M87" s="3"/>
      <c r="N87" s="2"/>
      <c r="O87" s="1">
        <f t="shared" si="6"/>
        <v>2030</v>
      </c>
      <c r="P87" s="3"/>
      <c r="Q87" s="102">
        <f t="shared" si="4"/>
        <v>5656</v>
      </c>
    </row>
    <row r="88" spans="1:17">
      <c r="A88" s="2">
        <v>75</v>
      </c>
      <c r="B88" t="s">
        <v>353</v>
      </c>
      <c r="C88" t="s">
        <v>374</v>
      </c>
      <c r="D88" t="s">
        <v>362</v>
      </c>
      <c r="E88">
        <v>2021</v>
      </c>
      <c r="H88" s="2"/>
      <c r="I88" s="3">
        <v>10</v>
      </c>
      <c r="K88" s="3">
        <f t="shared" si="5"/>
        <v>3</v>
      </c>
      <c r="L88" s="113">
        <v>55357</v>
      </c>
      <c r="M88" s="3"/>
      <c r="N88" s="2"/>
      <c r="O88" s="1">
        <f t="shared" si="6"/>
        <v>2031</v>
      </c>
      <c r="P88" s="3"/>
      <c r="Q88" s="102">
        <f t="shared" si="4"/>
        <v>5535.7</v>
      </c>
    </row>
    <row r="89" spans="1:17">
      <c r="A89" s="2">
        <v>76</v>
      </c>
      <c r="B89" t="s">
        <v>353</v>
      </c>
      <c r="C89" t="s">
        <v>375</v>
      </c>
      <c r="D89" t="s">
        <v>376</v>
      </c>
      <c r="E89">
        <v>2021</v>
      </c>
      <c r="H89" s="2"/>
      <c r="I89" s="3">
        <v>10</v>
      </c>
      <c r="K89" s="3">
        <f t="shared" si="5"/>
        <v>3</v>
      </c>
      <c r="L89" s="110">
        <v>1300</v>
      </c>
      <c r="M89" s="3"/>
      <c r="N89" s="2"/>
      <c r="O89" s="1">
        <f t="shared" si="6"/>
        <v>2031</v>
      </c>
      <c r="P89" s="3"/>
      <c r="Q89" s="102">
        <f t="shared" si="4"/>
        <v>130</v>
      </c>
    </row>
    <row r="90" spans="1:17">
      <c r="A90" s="2">
        <v>77</v>
      </c>
      <c r="B90" t="s">
        <v>353</v>
      </c>
      <c r="C90" t="s">
        <v>377</v>
      </c>
      <c r="D90" t="s">
        <v>378</v>
      </c>
      <c r="E90">
        <v>2023</v>
      </c>
      <c r="H90" s="2"/>
      <c r="I90" s="3">
        <v>10</v>
      </c>
      <c r="K90" s="3">
        <f t="shared" si="5"/>
        <v>1</v>
      </c>
      <c r="L90" s="113">
        <v>39642</v>
      </c>
      <c r="M90" s="3"/>
      <c r="N90" s="2"/>
      <c r="O90" s="1">
        <f t="shared" si="6"/>
        <v>2033</v>
      </c>
      <c r="P90" s="3"/>
      <c r="Q90" s="102">
        <f t="shared" si="4"/>
        <v>3964.2</v>
      </c>
    </row>
    <row r="91" spans="1:17">
      <c r="A91" s="104">
        <v>78</v>
      </c>
      <c r="B91" s="115" t="s">
        <v>353</v>
      </c>
      <c r="C91" s="115" t="s">
        <v>379</v>
      </c>
      <c r="D91" s="115" t="s">
        <v>380</v>
      </c>
      <c r="E91" s="115">
        <v>2023</v>
      </c>
      <c r="F91" s="104"/>
      <c r="G91" s="104"/>
      <c r="H91" s="104"/>
      <c r="I91" s="105">
        <v>10</v>
      </c>
      <c r="J91" s="105"/>
      <c r="K91" s="105">
        <f t="shared" si="5"/>
        <v>1</v>
      </c>
      <c r="L91" s="126">
        <v>40270</v>
      </c>
      <c r="M91" s="105"/>
      <c r="N91" s="104"/>
      <c r="O91" s="112">
        <f t="shared" si="6"/>
        <v>2033</v>
      </c>
      <c r="P91" s="105"/>
      <c r="Q91" s="106">
        <f t="shared" si="4"/>
        <v>4027</v>
      </c>
    </row>
    <row r="92" spans="1:17">
      <c r="A92" s="2">
        <f>COUNT(A74:A91)</f>
        <v>18</v>
      </c>
      <c r="B92" s="2" t="s">
        <v>381</v>
      </c>
      <c r="K92" s="3">
        <f>MEDIAN(K74:K91)</f>
        <v>5</v>
      </c>
      <c r="L92" s="102">
        <f>SUM(L74:L91)</f>
        <v>664612</v>
      </c>
      <c r="P92" s="3"/>
      <c r="Q92" s="102">
        <f>SUM(Q74:Q91)</f>
        <v>66461.2</v>
      </c>
    </row>
    <row r="93" spans="1:17">
      <c r="P93" s="3"/>
      <c r="Q93" s="102"/>
    </row>
    <row r="94" spans="1:17">
      <c r="P94" s="3"/>
      <c r="Q94" s="102"/>
    </row>
    <row r="95" spans="1:17">
      <c r="A95" s="2">
        <v>79</v>
      </c>
      <c r="B95" t="s">
        <v>382</v>
      </c>
      <c r="C95" t="s">
        <v>383</v>
      </c>
      <c r="D95" t="s">
        <v>384</v>
      </c>
      <c r="E95">
        <v>2000</v>
      </c>
      <c r="H95" s="2"/>
      <c r="I95" s="3">
        <v>10</v>
      </c>
      <c r="K95" s="3">
        <f t="shared" ref="K95:K101" si="7">2024-E95</f>
        <v>24</v>
      </c>
      <c r="L95" s="110">
        <v>30728</v>
      </c>
      <c r="M95" s="3"/>
      <c r="N95" s="2"/>
      <c r="O95" s="121">
        <f>E95+I95</f>
        <v>2010</v>
      </c>
      <c r="P95" s="3"/>
      <c r="Q95" s="102">
        <f t="shared" si="4"/>
        <v>3072.8</v>
      </c>
    </row>
    <row r="96" spans="1:17">
      <c r="A96" s="2">
        <v>80</v>
      </c>
      <c r="B96" t="s">
        <v>382</v>
      </c>
      <c r="C96" t="s">
        <v>385</v>
      </c>
      <c r="D96" t="s">
        <v>314</v>
      </c>
      <c r="E96">
        <v>2001</v>
      </c>
      <c r="H96" s="2"/>
      <c r="I96" s="3">
        <v>10</v>
      </c>
      <c r="K96" s="3">
        <f t="shared" si="7"/>
        <v>23</v>
      </c>
      <c r="L96" s="110">
        <v>22000</v>
      </c>
      <c r="M96" s="3"/>
      <c r="N96" s="2"/>
      <c r="O96" s="121">
        <f>E96+I96</f>
        <v>2011</v>
      </c>
      <c r="P96" s="3"/>
      <c r="Q96" s="102">
        <f t="shared" si="4"/>
        <v>2200</v>
      </c>
    </row>
    <row r="97" spans="1:17">
      <c r="A97" s="2">
        <v>81</v>
      </c>
      <c r="B97" t="s">
        <v>382</v>
      </c>
      <c r="C97" t="s">
        <v>386</v>
      </c>
      <c r="D97" t="s">
        <v>267</v>
      </c>
      <c r="E97">
        <v>2011</v>
      </c>
      <c r="H97" s="2"/>
      <c r="I97" s="3">
        <v>10</v>
      </c>
      <c r="K97" s="3">
        <f t="shared" si="7"/>
        <v>13</v>
      </c>
      <c r="L97" s="110">
        <v>32183</v>
      </c>
      <c r="M97" s="3"/>
      <c r="N97" s="2"/>
      <c r="O97" s="121">
        <f>E97+I97</f>
        <v>2021</v>
      </c>
      <c r="P97" s="3"/>
      <c r="Q97" s="102">
        <f t="shared" si="4"/>
        <v>3218.3</v>
      </c>
    </row>
    <row r="98" spans="1:17">
      <c r="A98" s="2">
        <v>82</v>
      </c>
      <c r="B98" t="s">
        <v>382</v>
      </c>
      <c r="C98" t="s">
        <v>387</v>
      </c>
      <c r="D98" t="s">
        <v>388</v>
      </c>
      <c r="E98">
        <v>2013</v>
      </c>
      <c r="H98" s="2"/>
      <c r="I98" s="3">
        <v>10</v>
      </c>
      <c r="K98" s="3">
        <f t="shared" si="7"/>
        <v>11</v>
      </c>
      <c r="L98" s="110">
        <v>38746</v>
      </c>
      <c r="M98" s="3"/>
      <c r="N98" s="2"/>
      <c r="O98" s="121">
        <f>E98+I98</f>
        <v>2023</v>
      </c>
      <c r="P98" s="3"/>
      <c r="Q98" s="102">
        <f t="shared" si="4"/>
        <v>3874.6</v>
      </c>
    </row>
    <row r="99" spans="1:17">
      <c r="A99" s="2">
        <v>83</v>
      </c>
      <c r="B99" t="s">
        <v>382</v>
      </c>
      <c r="C99" t="s">
        <v>389</v>
      </c>
      <c r="D99" t="s">
        <v>390</v>
      </c>
      <c r="E99">
        <v>2019</v>
      </c>
      <c r="H99" s="2"/>
      <c r="I99" s="3">
        <v>10</v>
      </c>
      <c r="K99" s="3">
        <f t="shared" si="7"/>
        <v>5</v>
      </c>
      <c r="L99" s="110">
        <v>38800</v>
      </c>
      <c r="M99" s="3"/>
      <c r="N99" s="2"/>
      <c r="O99" s="1">
        <f>E99+I99</f>
        <v>2029</v>
      </c>
      <c r="P99" s="3"/>
      <c r="Q99" s="102">
        <f t="shared" si="4"/>
        <v>3880</v>
      </c>
    </row>
    <row r="100" spans="1:17">
      <c r="A100" s="2">
        <v>84</v>
      </c>
      <c r="B100" t="s">
        <v>382</v>
      </c>
      <c r="C100" t="s">
        <v>391</v>
      </c>
      <c r="D100" t="s">
        <v>390</v>
      </c>
      <c r="E100">
        <v>2019</v>
      </c>
      <c r="H100" s="2"/>
      <c r="I100" s="3">
        <v>10</v>
      </c>
      <c r="K100" s="3">
        <f t="shared" si="7"/>
        <v>5</v>
      </c>
      <c r="L100" s="110">
        <v>38800</v>
      </c>
      <c r="M100" s="3"/>
      <c r="N100" s="2"/>
      <c r="O100" s="1">
        <f>E101+I100</f>
        <v>2030</v>
      </c>
      <c r="P100" s="3"/>
      <c r="Q100" s="102">
        <f t="shared" si="4"/>
        <v>3880</v>
      </c>
    </row>
    <row r="101" spans="1:17">
      <c r="A101" s="104">
        <v>85</v>
      </c>
      <c r="B101" s="115" t="s">
        <v>382</v>
      </c>
      <c r="C101" s="115" t="s">
        <v>392</v>
      </c>
      <c r="D101" s="115" t="s">
        <v>393</v>
      </c>
      <c r="E101" s="115">
        <v>2020</v>
      </c>
      <c r="F101" s="104"/>
      <c r="G101" s="104"/>
      <c r="H101" s="104"/>
      <c r="I101" s="105">
        <v>10</v>
      </c>
      <c r="J101" s="105"/>
      <c r="K101" s="105">
        <f t="shared" si="7"/>
        <v>4</v>
      </c>
      <c r="L101" s="118">
        <v>72295</v>
      </c>
      <c r="M101" s="105"/>
      <c r="N101" s="104"/>
      <c r="O101" s="112">
        <f>E101+I101</f>
        <v>2030</v>
      </c>
      <c r="P101" s="105"/>
      <c r="Q101" s="106">
        <f t="shared" si="4"/>
        <v>7229.5</v>
      </c>
    </row>
    <row r="102" spans="1:17">
      <c r="A102" s="2">
        <f>COUNT(A95:A101)</f>
        <v>7</v>
      </c>
      <c r="B102" t="s">
        <v>394</v>
      </c>
      <c r="C102"/>
      <c r="D102"/>
      <c r="E102"/>
      <c r="H102" s="2"/>
      <c r="K102" s="3">
        <f>MEDIAN(K95:K101)</f>
        <v>11</v>
      </c>
      <c r="L102" s="110">
        <f>SUM(L95:L101)</f>
        <v>273552</v>
      </c>
      <c r="M102" s="3"/>
      <c r="N102" s="2"/>
      <c r="O102" s="1"/>
      <c r="P102" s="3"/>
      <c r="Q102" s="102">
        <f>SUM(Q95:Q101)</f>
        <v>27355.200000000001</v>
      </c>
    </row>
    <row r="103" spans="1:17">
      <c r="B103"/>
      <c r="C103"/>
      <c r="D103"/>
      <c r="E103"/>
      <c r="H103" s="2"/>
      <c r="L103" s="3"/>
      <c r="M103" s="3"/>
      <c r="N103" s="2"/>
      <c r="O103" s="1"/>
      <c r="P103" s="3"/>
      <c r="Q103" s="102"/>
    </row>
    <row r="104" spans="1:17">
      <c r="B104"/>
      <c r="O104" s="1"/>
      <c r="P104" s="3"/>
      <c r="Q104" s="102"/>
    </row>
    <row r="105" spans="1:17">
      <c r="A105" s="2">
        <v>86</v>
      </c>
      <c r="B105" t="s">
        <v>395</v>
      </c>
      <c r="D105" s="8" t="s">
        <v>396</v>
      </c>
      <c r="E105" s="2">
        <v>1982</v>
      </c>
      <c r="I105" s="3">
        <v>10</v>
      </c>
      <c r="K105" s="3">
        <f>2024-E105</f>
        <v>42</v>
      </c>
      <c r="L105" s="102">
        <v>0</v>
      </c>
      <c r="O105" s="121">
        <f>E105+I105</f>
        <v>1992</v>
      </c>
      <c r="P105" s="3"/>
      <c r="Q105" s="102">
        <f t="shared" si="4"/>
        <v>0</v>
      </c>
    </row>
    <row r="106" spans="1:17">
      <c r="A106" s="104">
        <v>87</v>
      </c>
      <c r="B106" s="115" t="s">
        <v>395</v>
      </c>
      <c r="C106" s="104"/>
      <c r="D106" s="119" t="s">
        <v>397</v>
      </c>
      <c r="E106" s="104">
        <v>2019</v>
      </c>
      <c r="F106" s="104"/>
      <c r="G106" s="104"/>
      <c r="H106" s="105"/>
      <c r="I106" s="105">
        <v>10</v>
      </c>
      <c r="J106" s="105"/>
      <c r="K106" s="105">
        <f>2024-E106</f>
        <v>5</v>
      </c>
      <c r="L106" s="106">
        <v>36359</v>
      </c>
      <c r="M106" s="104"/>
      <c r="N106" s="105"/>
      <c r="O106" s="112">
        <f>E106+I106</f>
        <v>2029</v>
      </c>
      <c r="P106" s="105"/>
      <c r="Q106" s="106">
        <f t="shared" si="4"/>
        <v>3635.9</v>
      </c>
    </row>
    <row r="107" spans="1:17">
      <c r="A107" s="2">
        <f>COUNT(A105:A106)</f>
        <v>2</v>
      </c>
      <c r="B107" t="s">
        <v>398</v>
      </c>
      <c r="K107" s="3">
        <f>MEDIAN(K105:K106)</f>
        <v>23.5</v>
      </c>
      <c r="L107" s="102">
        <f>SUM(L105:L106)</f>
        <v>36359</v>
      </c>
      <c r="P107" s="3"/>
      <c r="Q107" s="102">
        <f>SUM(Q106)</f>
        <v>3635.9</v>
      </c>
    </row>
    <row r="108" spans="1:17">
      <c r="B108"/>
      <c r="C108"/>
      <c r="D108"/>
      <c r="E108"/>
      <c r="H108" s="2"/>
      <c r="L108" s="3"/>
      <c r="M108" s="3"/>
      <c r="N108" s="2"/>
      <c r="O108" s="1"/>
      <c r="P108" s="3"/>
    </row>
    <row r="109" spans="1:17">
      <c r="B109"/>
      <c r="E109"/>
      <c r="H109" s="2"/>
      <c r="L109" s="3"/>
      <c r="M109" s="3"/>
      <c r="N109" s="2"/>
      <c r="O109" s="1"/>
      <c r="P109" s="3"/>
    </row>
    <row r="110" spans="1:17">
      <c r="B110" s="115" t="s">
        <v>399</v>
      </c>
    </row>
    <row r="111" spans="1:17" ht="25.5">
      <c r="A111" s="2">
        <v>88</v>
      </c>
      <c r="B111" t="s">
        <v>277</v>
      </c>
      <c r="C111" s="2" t="s">
        <v>400</v>
      </c>
      <c r="D111" s="124" t="s">
        <v>401</v>
      </c>
      <c r="E111">
        <v>1998</v>
      </c>
      <c r="H111" s="2"/>
      <c r="I111" s="3">
        <v>25</v>
      </c>
      <c r="L111" s="110">
        <v>26350</v>
      </c>
      <c r="M111" s="3"/>
      <c r="N111" s="2"/>
      <c r="O111" s="1">
        <f>E111+I111</f>
        <v>2023</v>
      </c>
      <c r="Q111" s="102">
        <f>L111/I111</f>
        <v>1054</v>
      </c>
    </row>
    <row r="112" spans="1:17">
      <c r="A112" s="2">
        <v>89</v>
      </c>
      <c r="B112" t="s">
        <v>382</v>
      </c>
      <c r="C112" s="2" t="s">
        <v>402</v>
      </c>
      <c r="D112" s="8" t="s">
        <v>403</v>
      </c>
      <c r="E112">
        <v>2016</v>
      </c>
      <c r="H112" s="2"/>
      <c r="I112" s="3">
        <v>15</v>
      </c>
      <c r="L112" s="113">
        <v>12000</v>
      </c>
      <c r="M112" s="3"/>
      <c r="N112" s="2"/>
      <c r="O112" s="1">
        <f>E112+I112</f>
        <v>2031</v>
      </c>
      <c r="Q112" s="102">
        <f t="shared" ref="Q112:Q117" si="8">L112/I112</f>
        <v>800</v>
      </c>
    </row>
    <row r="113" spans="1:17">
      <c r="A113" s="2">
        <v>90</v>
      </c>
      <c r="B113" t="s">
        <v>382</v>
      </c>
      <c r="D113" s="8" t="s">
        <v>404</v>
      </c>
      <c r="E113" s="125" t="s">
        <v>405</v>
      </c>
      <c r="H113" s="2"/>
      <c r="I113" s="3" t="s">
        <v>405</v>
      </c>
      <c r="L113" s="110">
        <v>25000</v>
      </c>
      <c r="M113" s="3"/>
      <c r="N113" s="2"/>
      <c r="O113" s="1"/>
      <c r="Q113" s="102"/>
    </row>
    <row r="114" spans="1:17" ht="25.5">
      <c r="A114" s="2">
        <v>91</v>
      </c>
      <c r="B114" t="s">
        <v>382</v>
      </c>
      <c r="D114" s="124" t="s">
        <v>406</v>
      </c>
      <c r="E114"/>
      <c r="H114" s="2"/>
      <c r="I114" s="3" t="s">
        <v>405</v>
      </c>
      <c r="L114" s="110">
        <v>20000</v>
      </c>
      <c r="M114" s="3"/>
      <c r="N114" s="2"/>
      <c r="O114" s="1"/>
      <c r="Q114" s="102"/>
    </row>
    <row r="115" spans="1:17">
      <c r="A115" s="2">
        <v>92</v>
      </c>
      <c r="B115" t="s">
        <v>382</v>
      </c>
      <c r="D115" s="8" t="s">
        <v>407</v>
      </c>
      <c r="I115" s="3">
        <v>5</v>
      </c>
      <c r="L115" s="110">
        <v>26000</v>
      </c>
      <c r="M115" s="3"/>
      <c r="N115" s="2"/>
      <c r="O115" s="1"/>
      <c r="Q115" s="102">
        <f t="shared" si="8"/>
        <v>5200</v>
      </c>
    </row>
    <row r="116" spans="1:17">
      <c r="A116" s="2">
        <v>93</v>
      </c>
      <c r="B116" t="s">
        <v>353</v>
      </c>
      <c r="C116" t="s">
        <v>408</v>
      </c>
      <c r="D116" t="s">
        <v>409</v>
      </c>
      <c r="E116">
        <v>2021</v>
      </c>
      <c r="H116" s="2"/>
      <c r="I116" s="3">
        <v>10</v>
      </c>
      <c r="K116" s="3">
        <f>2024-E116</f>
        <v>3</v>
      </c>
      <c r="L116" s="113">
        <v>42417</v>
      </c>
      <c r="M116" s="3"/>
      <c r="N116" s="2"/>
      <c r="O116" s="1">
        <f>E116+I116</f>
        <v>2031</v>
      </c>
      <c r="Q116" s="102">
        <f t="shared" si="8"/>
        <v>4241.7</v>
      </c>
    </row>
    <row r="117" spans="1:17">
      <c r="A117" s="104">
        <v>94</v>
      </c>
      <c r="B117" s="115" t="s">
        <v>410</v>
      </c>
      <c r="C117" s="104"/>
      <c r="D117" s="119" t="s">
        <v>411</v>
      </c>
      <c r="E117" s="104"/>
      <c r="F117" s="104"/>
      <c r="G117" s="104"/>
      <c r="H117" s="105"/>
      <c r="I117" s="105">
        <v>15</v>
      </c>
      <c r="J117" s="105"/>
      <c r="K117" s="105"/>
      <c r="L117" s="106">
        <v>62490</v>
      </c>
      <c r="M117" s="104"/>
      <c r="N117" s="105"/>
      <c r="O117" s="104"/>
      <c r="P117" s="104"/>
      <c r="Q117" s="106">
        <f t="shared" si="8"/>
        <v>4166</v>
      </c>
    </row>
    <row r="118" spans="1:17">
      <c r="B118" s="2" t="s">
        <v>412</v>
      </c>
      <c r="L118" s="102">
        <f>SUM(L111:L117)</f>
        <v>214257</v>
      </c>
      <c r="Q118" s="102">
        <f>SUM(Q111:Q117)</f>
        <v>15461.7</v>
      </c>
    </row>
    <row r="119" spans="1:17">
      <c r="B119" s="2" t="s">
        <v>413</v>
      </c>
    </row>
    <row r="123" spans="1:17">
      <c r="B123" s="2" t="s">
        <v>414</v>
      </c>
      <c r="C123"/>
    </row>
    <row r="124" spans="1:17">
      <c r="B124" s="122" t="s">
        <v>415</v>
      </c>
      <c r="C124" s="122">
        <f>SUM(A107,A102,A92,A71,A28,A6)</f>
        <v>87</v>
      </c>
      <c r="L124" s="110"/>
      <c r="M124" s="3"/>
      <c r="N124" s="2"/>
    </row>
    <row r="125" spans="1:17">
      <c r="B125" s="122" t="s">
        <v>416</v>
      </c>
      <c r="C125" s="122">
        <f>MEDIAN(K105:K106,K95:K101,K74:K91,K31:K70,K9:K27,K5)</f>
        <v>11</v>
      </c>
    </row>
    <row r="126" spans="1:17">
      <c r="B126" s="122" t="s">
        <v>417</v>
      </c>
      <c r="C126" s="123">
        <f>SUM(L107,L102,L92,L71,L28,L6,L118)</f>
        <v>5986071</v>
      </c>
    </row>
    <row r="127" spans="1:17">
      <c r="B127" s="122" t="s">
        <v>418</v>
      </c>
      <c r="C127" s="123">
        <f>SUM(Q107,Q102,Q92,Q71,Q28,Q6,Q118)</f>
        <v>488303.75</v>
      </c>
    </row>
  </sheetData>
  <mergeCells count="2">
    <mergeCell ref="A1:N1"/>
    <mergeCell ref="A2:N2"/>
  </mergeCells>
  <printOptions horizontalCentered="1"/>
  <pageMargins left="0.45" right="0.45" top="0.75" bottom="0.75" header="0.3" footer="0.3"/>
  <pageSetup scale="8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6" tint="0.79998168889431442"/>
  </sheetPr>
  <dimension ref="A1:O37"/>
  <sheetViews>
    <sheetView topLeftCell="A16" zoomScaleNormal="100" workbookViewId="0">
      <selection activeCell="D40" sqref="D40"/>
    </sheetView>
  </sheetViews>
  <sheetFormatPr defaultColWidth="9.140625" defaultRowHeight="12.75"/>
  <cols>
    <col min="1" max="1" width="32.28515625" style="2" customWidth="1"/>
    <col min="2" max="2" width="14.42578125" style="2" customWidth="1"/>
    <col min="3" max="3" width="13.5703125" style="3" customWidth="1"/>
    <col min="4" max="4" width="9.85546875" style="2" customWidth="1"/>
    <col min="5" max="5" width="14.5703125" style="2" bestFit="1" customWidth="1"/>
    <col min="6" max="6" width="14.7109375" style="2" customWidth="1"/>
    <col min="7" max="9" width="9.140625" style="3"/>
    <col min="10" max="10" width="10.42578125" style="3" customWidth="1"/>
    <col min="11" max="11" width="16.140625" style="2" customWidth="1"/>
    <col min="12" max="12" width="20.28515625" style="3" customWidth="1"/>
    <col min="13" max="13" width="18.28515625" style="2" customWidth="1"/>
    <col min="14" max="14" width="18.140625" style="2" customWidth="1"/>
    <col min="15" max="15" width="16.28515625" style="2" customWidth="1"/>
    <col min="16" max="16384" width="9.140625" style="2"/>
  </cols>
  <sheetData>
    <row r="1" spans="1:15" ht="15" customHeight="1">
      <c r="A1" s="232" t="s">
        <v>201</v>
      </c>
      <c r="B1" s="232"/>
      <c r="C1" s="232"/>
      <c r="D1" s="232"/>
      <c r="E1" s="232"/>
      <c r="F1" s="232"/>
      <c r="G1" s="232"/>
      <c r="H1" s="232"/>
      <c r="I1" s="232"/>
      <c r="J1" s="232"/>
      <c r="K1" s="232"/>
      <c r="L1" s="232"/>
    </row>
    <row r="2" spans="1:15" ht="15" customHeight="1">
      <c r="A2" s="232" t="s">
        <v>419</v>
      </c>
      <c r="B2" s="232"/>
      <c r="C2" s="232"/>
      <c r="D2" s="232"/>
      <c r="E2" s="232"/>
      <c r="F2" s="232"/>
      <c r="G2" s="232"/>
      <c r="H2" s="232"/>
      <c r="I2" s="232"/>
      <c r="J2" s="232"/>
      <c r="K2" s="232"/>
      <c r="L2" s="232"/>
    </row>
    <row r="3" spans="1:15">
      <c r="A3" s="69"/>
      <c r="B3" s="69"/>
      <c r="C3" s="84"/>
      <c r="D3" s="69"/>
      <c r="E3" s="69"/>
      <c r="F3" s="69"/>
      <c r="G3" s="84"/>
      <c r="H3" s="84"/>
      <c r="I3" s="84"/>
      <c r="J3" s="84"/>
      <c r="K3" s="69"/>
      <c r="L3" s="84"/>
    </row>
    <row r="4" spans="1:15" s="1" customFormat="1" ht="25.5">
      <c r="A4" s="233" t="s">
        <v>420</v>
      </c>
      <c r="B4" s="233"/>
      <c r="C4" s="7" t="s">
        <v>421</v>
      </c>
      <c r="D4" s="7" t="s">
        <v>422</v>
      </c>
      <c r="E4" s="7" t="s">
        <v>423</v>
      </c>
      <c r="F4" s="7" t="s">
        <v>424</v>
      </c>
      <c r="G4" s="7" t="s">
        <v>425</v>
      </c>
      <c r="H4" s="7" t="s">
        <v>214</v>
      </c>
      <c r="I4" s="7" t="s">
        <v>426</v>
      </c>
      <c r="J4" s="7" t="s">
        <v>427</v>
      </c>
      <c r="K4" s="7" t="s">
        <v>217</v>
      </c>
      <c r="L4" s="7" t="s">
        <v>428</v>
      </c>
      <c r="M4" s="7" t="s">
        <v>429</v>
      </c>
      <c r="N4" s="7" t="s">
        <v>430</v>
      </c>
      <c r="O4" s="7" t="s">
        <v>431</v>
      </c>
    </row>
    <row r="5" spans="1:15" ht="14.25" customHeight="1">
      <c r="A5" t="s">
        <v>432</v>
      </c>
      <c r="B5" s="2" t="s">
        <v>433</v>
      </c>
      <c r="D5" s="5">
        <v>2250</v>
      </c>
      <c r="E5" s="4"/>
      <c r="F5" s="102">
        <v>247244</v>
      </c>
      <c r="G5" s="3" t="s">
        <v>434</v>
      </c>
      <c r="H5" s="3" t="s">
        <v>230</v>
      </c>
      <c r="I5" s="3" t="s">
        <v>435</v>
      </c>
      <c r="K5" s="1" t="s">
        <v>436</v>
      </c>
      <c r="L5" s="96" t="s">
        <v>437</v>
      </c>
      <c r="M5" s="2">
        <v>50</v>
      </c>
      <c r="N5" s="2" t="s">
        <v>438</v>
      </c>
    </row>
    <row r="6" spans="1:15" ht="14.25" customHeight="1">
      <c r="A6" s="97" t="s">
        <v>439</v>
      </c>
      <c r="D6" s="5"/>
      <c r="E6" s="4"/>
      <c r="F6" s="102">
        <v>6465</v>
      </c>
      <c r="K6" s="1"/>
      <c r="L6" s="101"/>
    </row>
    <row r="7" spans="1:15" ht="14.25" customHeight="1">
      <c r="A7" t="s">
        <v>440</v>
      </c>
      <c r="B7" s="2" t="s">
        <v>441</v>
      </c>
      <c r="C7" s="3">
        <v>2015</v>
      </c>
      <c r="D7" s="5">
        <v>10500</v>
      </c>
      <c r="E7" s="4">
        <v>2514300</v>
      </c>
      <c r="F7" s="102">
        <v>3152245</v>
      </c>
      <c r="G7" s="3" t="s">
        <v>442</v>
      </c>
      <c r="H7" s="3" t="s">
        <v>224</v>
      </c>
      <c r="I7" s="3" t="s">
        <v>443</v>
      </c>
      <c r="K7" s="1" t="s">
        <v>444</v>
      </c>
      <c r="L7" s="100" t="s">
        <v>445</v>
      </c>
      <c r="M7" s="2">
        <v>50</v>
      </c>
      <c r="N7" s="98">
        <f>E7/(50-9)</f>
        <v>61324.390243902439</v>
      </c>
      <c r="O7" s="2">
        <f>1*2</f>
        <v>2</v>
      </c>
    </row>
    <row r="8" spans="1:15" ht="14.25" customHeight="1">
      <c r="A8" s="97" t="s">
        <v>439</v>
      </c>
      <c r="D8" s="5"/>
      <c r="E8" s="4"/>
      <c r="F8" s="102">
        <v>60620</v>
      </c>
      <c r="K8" s="1"/>
      <c r="L8" s="101"/>
    </row>
    <row r="9" spans="1:15" ht="14.25" customHeight="1">
      <c r="A9" t="s">
        <v>446</v>
      </c>
      <c r="B9" s="2" t="s">
        <v>433</v>
      </c>
      <c r="C9" s="3">
        <v>1919</v>
      </c>
      <c r="D9" s="5">
        <v>1650</v>
      </c>
      <c r="E9" s="4"/>
      <c r="F9" s="102">
        <v>405081</v>
      </c>
      <c r="G9" s="3" t="s">
        <v>434</v>
      </c>
      <c r="H9" s="3" t="s">
        <v>230</v>
      </c>
      <c r="I9" s="3" t="s">
        <v>443</v>
      </c>
      <c r="K9" s="1" t="s">
        <v>447</v>
      </c>
      <c r="L9" s="96" t="s">
        <v>437</v>
      </c>
      <c r="M9" s="2">
        <v>50</v>
      </c>
      <c r="N9" s="2" t="s">
        <v>448</v>
      </c>
      <c r="O9" s="2">
        <f>3*2</f>
        <v>6</v>
      </c>
    </row>
    <row r="10" spans="1:15" ht="14.25" customHeight="1">
      <c r="A10" s="97" t="s">
        <v>439</v>
      </c>
      <c r="D10" s="5"/>
      <c r="E10" s="4"/>
      <c r="F10" s="102">
        <v>586743</v>
      </c>
      <c r="K10" s="1"/>
      <c r="L10" s="101"/>
    </row>
    <row r="11" spans="1:15" ht="14.25" customHeight="1">
      <c r="A11" t="s">
        <v>449</v>
      </c>
      <c r="B11" s="2" t="s">
        <v>450</v>
      </c>
      <c r="D11" s="5">
        <v>5200</v>
      </c>
      <c r="E11" s="4"/>
      <c r="F11" s="102">
        <v>134278</v>
      </c>
      <c r="G11" s="3" t="s">
        <v>442</v>
      </c>
      <c r="H11" s="3" t="s">
        <v>230</v>
      </c>
      <c r="I11" s="3" t="s">
        <v>451</v>
      </c>
      <c r="K11" s="1" t="s">
        <v>190</v>
      </c>
      <c r="L11" s="96" t="s">
        <v>452</v>
      </c>
      <c r="M11" s="2">
        <v>50</v>
      </c>
      <c r="N11" s="2" t="s">
        <v>448</v>
      </c>
      <c r="O11" s="2">
        <f>3*3</f>
        <v>9</v>
      </c>
    </row>
    <row r="12" spans="1:15" ht="14.25" customHeight="1">
      <c r="A12" s="97" t="s">
        <v>453</v>
      </c>
      <c r="D12" s="5"/>
      <c r="F12" s="102">
        <v>8447</v>
      </c>
      <c r="K12" s="1"/>
      <c r="L12" s="101"/>
    </row>
    <row r="13" spans="1:15" ht="14.25" customHeight="1">
      <c r="A13" t="s">
        <v>454</v>
      </c>
      <c r="B13" s="2" t="s">
        <v>450</v>
      </c>
      <c r="D13" s="5">
        <v>8900</v>
      </c>
      <c r="E13" s="4"/>
      <c r="F13" s="102">
        <v>218177</v>
      </c>
      <c r="G13" s="3" t="s">
        <v>442</v>
      </c>
      <c r="H13" s="3" t="s">
        <v>230</v>
      </c>
      <c r="I13" s="3" t="s">
        <v>451</v>
      </c>
      <c r="K13" s="1" t="s">
        <v>190</v>
      </c>
      <c r="L13" s="96" t="s">
        <v>452</v>
      </c>
      <c r="M13" s="2">
        <v>50</v>
      </c>
      <c r="N13" s="2" t="s">
        <v>448</v>
      </c>
      <c r="O13" s="2">
        <f>3*3</f>
        <v>9</v>
      </c>
    </row>
    <row r="14" spans="1:15" ht="14.25" customHeight="1">
      <c r="A14" s="97" t="s">
        <v>453</v>
      </c>
      <c r="D14" s="5"/>
      <c r="F14" s="102">
        <v>59122</v>
      </c>
      <c r="K14" s="1"/>
      <c r="L14" s="101"/>
    </row>
    <row r="15" spans="1:15" ht="14.25" customHeight="1">
      <c r="A15" t="s">
        <v>455</v>
      </c>
      <c r="B15" s="2" t="s">
        <v>450</v>
      </c>
      <c r="D15" s="5">
        <v>1850</v>
      </c>
      <c r="E15" s="4"/>
      <c r="F15" s="102">
        <v>296946</v>
      </c>
      <c r="G15" s="3" t="s">
        <v>442</v>
      </c>
      <c r="H15" s="3" t="s">
        <v>239</v>
      </c>
      <c r="I15" s="3" t="s">
        <v>451</v>
      </c>
      <c r="K15" s="1" t="s">
        <v>190</v>
      </c>
      <c r="L15" s="96" t="s">
        <v>452</v>
      </c>
      <c r="M15" s="2">
        <v>50</v>
      </c>
      <c r="N15" s="2" t="s">
        <v>448</v>
      </c>
      <c r="O15" s="2">
        <f>2*3</f>
        <v>6</v>
      </c>
    </row>
    <row r="16" spans="1:15" ht="14.25" customHeight="1">
      <c r="A16" s="97" t="s">
        <v>453</v>
      </c>
      <c r="D16" s="5"/>
      <c r="F16" s="102">
        <v>11824</v>
      </c>
      <c r="K16" s="1"/>
      <c r="L16" s="101"/>
    </row>
    <row r="17" spans="1:15" ht="14.25" customHeight="1">
      <c r="A17" t="s">
        <v>456</v>
      </c>
      <c r="B17" s="2" t="s">
        <v>457</v>
      </c>
      <c r="D17" s="5">
        <v>275</v>
      </c>
      <c r="F17" s="102">
        <v>15984</v>
      </c>
      <c r="G17" s="3" t="s">
        <v>442</v>
      </c>
      <c r="H17" s="3" t="s">
        <v>230</v>
      </c>
      <c r="I17" s="3" t="s">
        <v>443</v>
      </c>
      <c r="K17" s="1" t="s">
        <v>190</v>
      </c>
      <c r="L17" s="96" t="s">
        <v>452</v>
      </c>
      <c r="M17" s="2">
        <v>50</v>
      </c>
      <c r="N17" s="2" t="s">
        <v>448</v>
      </c>
      <c r="O17" s="2">
        <f>3*2</f>
        <v>6</v>
      </c>
    </row>
    <row r="18" spans="1:15" ht="14.25" customHeight="1">
      <c r="A18" s="97" t="s">
        <v>453</v>
      </c>
      <c r="D18" s="5"/>
      <c r="F18" s="102">
        <v>3330</v>
      </c>
      <c r="K18" s="1"/>
      <c r="L18" s="101"/>
    </row>
    <row r="19" spans="1:15" ht="14.25" customHeight="1">
      <c r="A19" t="s">
        <v>458</v>
      </c>
      <c r="B19" s="2" t="s">
        <v>457</v>
      </c>
      <c r="D19" s="5">
        <v>1600</v>
      </c>
      <c r="F19" s="102">
        <v>98209</v>
      </c>
      <c r="G19" s="3" t="s">
        <v>442</v>
      </c>
      <c r="H19" s="3" t="s">
        <v>239</v>
      </c>
      <c r="I19" s="3" t="s">
        <v>443</v>
      </c>
      <c r="K19" s="1" t="s">
        <v>190</v>
      </c>
      <c r="L19" s="96" t="s">
        <v>452</v>
      </c>
      <c r="M19" s="2">
        <v>50</v>
      </c>
      <c r="N19" s="2" t="s">
        <v>448</v>
      </c>
      <c r="O19" s="2">
        <f>2*2</f>
        <v>4</v>
      </c>
    </row>
    <row r="20" spans="1:15" ht="14.25" customHeight="1">
      <c r="A20" s="97" t="s">
        <v>453</v>
      </c>
      <c r="D20" s="5"/>
      <c r="F20" s="102">
        <v>9990</v>
      </c>
      <c r="K20" s="1"/>
      <c r="L20" s="101"/>
    </row>
    <row r="21" spans="1:15" ht="14.25" customHeight="1">
      <c r="A21" t="s">
        <v>459</v>
      </c>
      <c r="B21" s="2" t="s">
        <v>457</v>
      </c>
      <c r="D21" s="5">
        <v>160</v>
      </c>
      <c r="F21" s="102">
        <v>3996</v>
      </c>
      <c r="G21" s="3" t="s">
        <v>442</v>
      </c>
      <c r="H21" s="3" t="s">
        <v>239</v>
      </c>
      <c r="I21" s="3" t="s">
        <v>443</v>
      </c>
      <c r="K21" s="1" t="s">
        <v>190</v>
      </c>
      <c r="L21" s="96" t="s">
        <v>452</v>
      </c>
      <c r="M21" s="2">
        <v>25</v>
      </c>
      <c r="N21" s="2" t="s">
        <v>448</v>
      </c>
      <c r="O21" s="2">
        <f>2*2</f>
        <v>4</v>
      </c>
    </row>
    <row r="22" spans="1:15" ht="14.25" customHeight="1">
      <c r="A22" s="97" t="s">
        <v>453</v>
      </c>
      <c r="D22" s="5"/>
      <c r="F22" s="102">
        <v>666</v>
      </c>
      <c r="K22" s="1"/>
      <c r="L22" s="101"/>
    </row>
    <row r="23" spans="1:15" ht="14.25" customHeight="1">
      <c r="A23" t="s">
        <v>460</v>
      </c>
      <c r="B23" s="2" t="s">
        <v>457</v>
      </c>
      <c r="D23" s="5">
        <v>2650</v>
      </c>
      <c r="F23" s="102">
        <v>459142</v>
      </c>
      <c r="G23" s="3" t="s">
        <v>442</v>
      </c>
      <c r="H23" s="3" t="s">
        <v>239</v>
      </c>
      <c r="I23" s="3" t="s">
        <v>443</v>
      </c>
      <c r="K23" s="1" t="s">
        <v>190</v>
      </c>
      <c r="L23" s="96" t="s">
        <v>452</v>
      </c>
      <c r="M23" s="2">
        <v>50</v>
      </c>
      <c r="N23" s="2" t="s">
        <v>448</v>
      </c>
      <c r="O23" s="2">
        <f>2*2</f>
        <v>4</v>
      </c>
    </row>
    <row r="24" spans="1:15" ht="14.25" customHeight="1">
      <c r="A24" s="97" t="s">
        <v>453</v>
      </c>
      <c r="F24" s="102">
        <v>0</v>
      </c>
      <c r="K24" s="1"/>
      <c r="L24" s="101"/>
    </row>
    <row r="25" spans="1:15" ht="14.25" customHeight="1">
      <c r="A25" t="s">
        <v>461</v>
      </c>
      <c r="B25" s="2" t="s">
        <v>450</v>
      </c>
      <c r="D25" s="5">
        <v>10963</v>
      </c>
      <c r="E25" s="4"/>
      <c r="F25" s="102">
        <v>2229216</v>
      </c>
      <c r="G25" s="3" t="s">
        <v>442</v>
      </c>
      <c r="H25" s="3" t="s">
        <v>224</v>
      </c>
      <c r="I25" s="3" t="s">
        <v>451</v>
      </c>
      <c r="K25" s="1" t="s">
        <v>462</v>
      </c>
      <c r="L25" s="96" t="s">
        <v>452</v>
      </c>
      <c r="M25" s="2">
        <v>50</v>
      </c>
      <c r="N25" s="102">
        <f>F25/(50-22)</f>
        <v>79614.857142857145</v>
      </c>
      <c r="O25" s="2">
        <f>1*3</f>
        <v>3</v>
      </c>
    </row>
    <row r="26" spans="1:15" ht="14.25" customHeight="1">
      <c r="A26" s="97" t="s">
        <v>453</v>
      </c>
      <c r="F26" s="102">
        <v>155844</v>
      </c>
      <c r="K26" s="1"/>
      <c r="L26" s="101"/>
    </row>
    <row r="27" spans="1:15" ht="14.25" customHeight="1">
      <c r="A27" t="s">
        <v>463</v>
      </c>
      <c r="B27" s="2" t="s">
        <v>464</v>
      </c>
      <c r="D27" s="5">
        <v>875</v>
      </c>
      <c r="E27" s="4"/>
      <c r="F27" s="102">
        <v>1841</v>
      </c>
      <c r="G27" s="3" t="s">
        <v>465</v>
      </c>
      <c r="H27" s="3" t="s">
        <v>239</v>
      </c>
      <c r="I27" s="3" t="s">
        <v>435</v>
      </c>
      <c r="K27" s="1" t="s">
        <v>462</v>
      </c>
      <c r="L27" s="96" t="s">
        <v>466</v>
      </c>
      <c r="M27" s="2">
        <v>50</v>
      </c>
      <c r="N27" s="2" t="s">
        <v>448</v>
      </c>
      <c r="O27" s="2">
        <f>2*1</f>
        <v>2</v>
      </c>
    </row>
    <row r="28" spans="1:15" ht="14.25" customHeight="1">
      <c r="A28" s="97" t="s">
        <v>453</v>
      </c>
      <c r="D28" s="5"/>
      <c r="F28" s="102">
        <v>40726</v>
      </c>
      <c r="K28" s="1"/>
      <c r="L28" s="101"/>
    </row>
    <row r="29" spans="1:15" ht="14.25" customHeight="1">
      <c r="A29" t="s">
        <v>467</v>
      </c>
      <c r="B29" s="2" t="s">
        <v>468</v>
      </c>
      <c r="D29" s="5">
        <v>3875</v>
      </c>
      <c r="E29" s="4">
        <v>255300</v>
      </c>
      <c r="F29" s="102">
        <v>321391</v>
      </c>
      <c r="G29" s="3" t="s">
        <v>442</v>
      </c>
      <c r="H29" s="3" t="s">
        <v>239</v>
      </c>
      <c r="I29" s="3" t="s">
        <v>443</v>
      </c>
      <c r="K29" s="1" t="s">
        <v>462</v>
      </c>
      <c r="L29" s="96" t="s">
        <v>469</v>
      </c>
      <c r="M29" s="2">
        <v>50</v>
      </c>
      <c r="N29" s="2" t="s">
        <v>448</v>
      </c>
      <c r="O29" s="2">
        <f>2*2</f>
        <v>4</v>
      </c>
    </row>
    <row r="30" spans="1:15" ht="14.25" customHeight="1">
      <c r="A30" s="97" t="s">
        <v>453</v>
      </c>
      <c r="D30" s="5"/>
      <c r="E30" s="4"/>
      <c r="F30" s="102">
        <v>30509</v>
      </c>
      <c r="K30" s="1"/>
    </row>
    <row r="31" spans="1:15" ht="77.25">
      <c r="A31" t="s">
        <v>470</v>
      </c>
      <c r="B31" s="2" t="s">
        <v>471</v>
      </c>
      <c r="D31" s="5">
        <v>60000</v>
      </c>
      <c r="E31" s="102">
        <v>15648000</v>
      </c>
      <c r="F31" s="102">
        <v>20099646</v>
      </c>
      <c r="G31" s="3" t="s">
        <v>442</v>
      </c>
      <c r="H31" s="3" t="s">
        <v>230</v>
      </c>
      <c r="I31" s="3" t="s">
        <v>451</v>
      </c>
      <c r="K31" s="1" t="s">
        <v>472</v>
      </c>
      <c r="L31" s="99" t="s">
        <v>473</v>
      </c>
      <c r="M31" s="2">
        <v>50</v>
      </c>
      <c r="N31" s="102">
        <f>E31/(25)</f>
        <v>625920</v>
      </c>
      <c r="O31" s="2">
        <f>3*3</f>
        <v>9</v>
      </c>
    </row>
    <row r="32" spans="1:15">
      <c r="A32" s="97" t="s">
        <v>439</v>
      </c>
      <c r="D32" s="5"/>
      <c r="E32" s="102"/>
      <c r="F32" s="102">
        <v>1915451</v>
      </c>
      <c r="K32" s="1"/>
      <c r="L32" s="101"/>
    </row>
    <row r="33" spans="1:15" ht="39">
      <c r="A33" t="s">
        <v>474</v>
      </c>
      <c r="B33" s="2" t="s">
        <v>475</v>
      </c>
      <c r="D33" s="5">
        <v>57500</v>
      </c>
      <c r="E33" s="102">
        <v>40412900</v>
      </c>
      <c r="F33" s="102">
        <v>22019230</v>
      </c>
      <c r="G33" s="3" t="s">
        <v>465</v>
      </c>
      <c r="H33" s="3" t="s">
        <v>239</v>
      </c>
      <c r="I33" s="3" t="s">
        <v>451</v>
      </c>
      <c r="K33" s="1" t="s">
        <v>476</v>
      </c>
      <c r="L33" s="99" t="s">
        <v>477</v>
      </c>
      <c r="M33" s="2">
        <v>50</v>
      </c>
      <c r="N33" s="98">
        <f>F33/(50-22)</f>
        <v>786401.07142857148</v>
      </c>
      <c r="O33" s="2">
        <f>2*3</f>
        <v>6</v>
      </c>
    </row>
    <row r="34" spans="1:15">
      <c r="A34" s="97" t="s">
        <v>439</v>
      </c>
      <c r="D34" s="5"/>
      <c r="F34" s="102">
        <v>1217687</v>
      </c>
      <c r="K34" s="1"/>
    </row>
    <row r="35" spans="1:15" ht="15">
      <c r="A35" t="s">
        <v>478</v>
      </c>
      <c r="B35" s="2" t="s">
        <v>475</v>
      </c>
      <c r="D35" s="5">
        <v>1900</v>
      </c>
      <c r="F35" s="102">
        <v>83725</v>
      </c>
      <c r="G35" s="3" t="s">
        <v>465</v>
      </c>
      <c r="H35" s="3" t="s">
        <v>239</v>
      </c>
      <c r="I35" s="3" t="s">
        <v>443</v>
      </c>
      <c r="K35" s="1" t="s">
        <v>479</v>
      </c>
      <c r="L35" s="99" t="s">
        <v>477</v>
      </c>
      <c r="M35" s="2">
        <v>25</v>
      </c>
      <c r="N35" s="2" t="s">
        <v>448</v>
      </c>
      <c r="O35" s="2">
        <f>2*2</f>
        <v>4</v>
      </c>
    </row>
    <row r="36" spans="1:15">
      <c r="A36" s="103" t="s">
        <v>439</v>
      </c>
      <c r="B36" s="104"/>
      <c r="C36" s="105"/>
      <c r="D36" s="104"/>
      <c r="E36" s="104"/>
      <c r="F36" s="106">
        <v>1</v>
      </c>
      <c r="G36" s="105"/>
      <c r="H36" s="105"/>
      <c r="I36" s="105"/>
      <c r="J36" s="105"/>
      <c r="K36" s="112"/>
      <c r="L36" s="105"/>
      <c r="M36" s="104"/>
      <c r="N36" s="104"/>
      <c r="O36" s="104"/>
    </row>
    <row r="37" spans="1:15">
      <c r="F37" s="108">
        <f>SUM(F5:F36)</f>
        <v>53893776</v>
      </c>
      <c r="M37" s="2" t="s">
        <v>430</v>
      </c>
      <c r="N37" s="107">
        <f>SUM(N5:N36)</f>
        <v>1553260.318815331</v>
      </c>
    </row>
  </sheetData>
  <mergeCells count="3">
    <mergeCell ref="A1:L1"/>
    <mergeCell ref="A2:L2"/>
    <mergeCell ref="A4:B4"/>
  </mergeCells>
  <printOptions horizontalCentered="1"/>
  <pageMargins left="0.45" right="0.45" top="0.75" bottom="0.75" header="0.3" footer="0.3"/>
  <pageSetup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tint="-0.249977111117893"/>
    <pageSetUpPr fitToPage="1"/>
  </sheetPr>
  <dimension ref="A1:S109"/>
  <sheetViews>
    <sheetView showGridLines="0" topLeftCell="A19" zoomScale="85" zoomScaleNormal="85" workbookViewId="0">
      <selection activeCell="K27" sqref="K27"/>
    </sheetView>
  </sheetViews>
  <sheetFormatPr defaultColWidth="9.140625" defaultRowHeight="15"/>
  <cols>
    <col min="1" max="1" width="6" style="20" customWidth="1"/>
    <col min="2" max="2" width="3.85546875" style="20" customWidth="1"/>
    <col min="3" max="3" width="6.140625" style="10" customWidth="1"/>
    <col min="4" max="4" width="43" style="9" customWidth="1"/>
    <col min="5" max="5" width="12.28515625" style="9" customWidth="1"/>
    <col min="6" max="6" width="16.7109375" style="9" customWidth="1"/>
    <col min="7" max="7" width="11.28515625" style="9" customWidth="1"/>
    <col min="8" max="8" width="13.28515625" style="9" customWidth="1"/>
    <col min="9" max="9" width="13.28515625" style="11" customWidth="1"/>
    <col min="10" max="10" width="16.5703125" style="9" customWidth="1"/>
    <col min="11" max="11" width="13.85546875" style="20" customWidth="1"/>
    <col min="12" max="12" width="11.5703125" style="20" bestFit="1" customWidth="1"/>
    <col min="13" max="13" width="14.140625" style="9" customWidth="1"/>
    <col min="14" max="15" width="11.28515625" style="9" customWidth="1"/>
    <col min="16" max="16" width="12.5703125" style="9" bestFit="1" customWidth="1"/>
    <col min="17" max="17" width="14.28515625" style="9" customWidth="1"/>
    <col min="18" max="18" width="22" style="9" customWidth="1"/>
    <col min="19" max="19" width="14.28515625" style="9" bestFit="1" customWidth="1"/>
    <col min="20" max="20" width="11.42578125" style="9" customWidth="1"/>
    <col min="21" max="21" width="3" style="9" customWidth="1"/>
    <col min="22" max="23" width="9.5703125" style="9" bestFit="1" customWidth="1"/>
    <col min="24" max="24" width="10.85546875" style="9" customWidth="1"/>
    <col min="25" max="25" width="9.5703125" style="9" bestFit="1" customWidth="1"/>
    <col min="26" max="26" width="13.5703125" style="9" customWidth="1"/>
    <col min="27" max="27" width="9.5703125" style="9" bestFit="1" customWidth="1"/>
    <col min="28" max="28" width="11.5703125" style="9" bestFit="1" customWidth="1"/>
    <col min="29" max="29" width="11.140625" style="9" bestFit="1" customWidth="1"/>
    <col min="30" max="30" width="11" style="9" bestFit="1" customWidth="1"/>
    <col min="31" max="31" width="6.85546875" style="9" bestFit="1" customWidth="1"/>
    <col min="32" max="16384" width="9.140625" style="9"/>
  </cols>
  <sheetData>
    <row r="1" spans="1:13">
      <c r="A1" s="9"/>
      <c r="B1" s="9"/>
      <c r="H1" s="14" t="s">
        <v>480</v>
      </c>
      <c r="K1" s="12"/>
      <c r="L1" s="12"/>
    </row>
    <row r="2" spans="1:13" ht="18.75">
      <c r="A2" s="9"/>
      <c r="B2" s="9"/>
      <c r="C2" s="9"/>
      <c r="D2" s="13"/>
      <c r="H2" s="19" t="s">
        <v>481</v>
      </c>
      <c r="I2" s="19" t="s">
        <v>482</v>
      </c>
      <c r="J2" s="15"/>
      <c r="K2" s="16"/>
      <c r="L2" s="12"/>
      <c r="M2" s="17"/>
    </row>
    <row r="3" spans="1:13" ht="15.75">
      <c r="A3" s="9"/>
      <c r="B3" s="9"/>
      <c r="C3" s="9"/>
      <c r="D3" s="18"/>
      <c r="H3" s="19" t="s">
        <v>483</v>
      </c>
      <c r="I3" s="19" t="s">
        <v>482</v>
      </c>
      <c r="J3" s="15"/>
      <c r="K3" s="16"/>
      <c r="L3" s="12"/>
      <c r="M3" s="17"/>
    </row>
    <row r="4" spans="1:13" ht="15.75">
      <c r="A4" s="9"/>
      <c r="B4" s="9"/>
      <c r="D4" s="60" t="s">
        <v>484</v>
      </c>
      <c r="J4" s="14"/>
      <c r="K4" s="19"/>
    </row>
    <row r="5" spans="1:13" ht="9" customHeight="1">
      <c r="A5" s="9"/>
      <c r="B5" s="9"/>
      <c r="I5" s="9"/>
      <c r="K5" s="9"/>
      <c r="L5" s="9"/>
    </row>
    <row r="6" spans="1:13" ht="15.75">
      <c r="A6" s="9"/>
      <c r="B6" s="9"/>
      <c r="C6" s="21" t="s">
        <v>485</v>
      </c>
      <c r="D6" s="22" t="s">
        <v>70</v>
      </c>
      <c r="E6" s="23"/>
      <c r="F6" s="23"/>
      <c r="H6" s="22" t="s">
        <v>486</v>
      </c>
      <c r="I6" s="23"/>
      <c r="J6" s="23"/>
      <c r="K6" s="23"/>
      <c r="L6" s="9"/>
    </row>
    <row r="7" spans="1:13">
      <c r="A7" s="9"/>
      <c r="B7" s="9"/>
      <c r="D7" s="9" t="s">
        <v>487</v>
      </c>
      <c r="F7" s="24">
        <v>2027</v>
      </c>
      <c r="H7" s="9" t="s">
        <v>488</v>
      </c>
      <c r="I7" s="9"/>
      <c r="K7" s="25">
        <v>250000</v>
      </c>
      <c r="L7" s="9" t="s">
        <v>489</v>
      </c>
    </row>
    <row r="8" spans="1:13">
      <c r="A8" s="9"/>
      <c r="B8" s="9"/>
      <c r="F8" s="26"/>
      <c r="H8" s="9" t="s">
        <v>490</v>
      </c>
      <c r="I8" s="9"/>
      <c r="K8" s="25">
        <v>1000000</v>
      </c>
      <c r="L8" s="9" t="s">
        <v>489</v>
      </c>
    </row>
    <row r="9" spans="1:13">
      <c r="A9" s="9"/>
      <c r="B9" s="9"/>
      <c r="D9" s="9" t="str">
        <f>CONCATENATE("Enter FY",E12," ","General Fund Gross Operating Revenue")</f>
        <v>Enter FY2027 General Fund Gross Operating Revenue</v>
      </c>
      <c r="F9" s="28">
        <f>18887916+6325975+1636241</f>
        <v>26850132</v>
      </c>
      <c r="H9" s="29"/>
      <c r="I9" s="9"/>
      <c r="K9" s="9"/>
      <c r="L9" s="9"/>
    </row>
    <row r="10" spans="1:13" ht="15" customHeight="1">
      <c r="A10" s="9"/>
      <c r="B10" s="9"/>
      <c r="D10" s="29"/>
      <c r="E10" s="27"/>
      <c r="H10" s="234" t="s">
        <v>491</v>
      </c>
      <c r="I10" s="235"/>
      <c r="J10" s="235"/>
      <c r="K10" s="235"/>
      <c r="L10" s="9"/>
    </row>
    <row r="11" spans="1:13">
      <c r="A11" s="9"/>
      <c r="B11" s="9"/>
      <c r="C11" s="9"/>
      <c r="D11" s="32" t="s">
        <v>492</v>
      </c>
      <c r="E11" s="27"/>
      <c r="H11" s="30" t="s">
        <v>493</v>
      </c>
      <c r="I11" s="9"/>
      <c r="K11" s="31">
        <v>0.185</v>
      </c>
      <c r="L11" s="9"/>
    </row>
    <row r="12" spans="1:13">
      <c r="A12" s="9"/>
      <c r="B12" s="9"/>
      <c r="D12" s="9" t="s">
        <v>494</v>
      </c>
      <c r="E12" s="33">
        <v>2027</v>
      </c>
      <c r="F12" s="25"/>
      <c r="H12" s="30" t="s">
        <v>495</v>
      </c>
      <c r="I12" s="9"/>
      <c r="K12" s="31">
        <v>0.01</v>
      </c>
      <c r="L12" s="9"/>
    </row>
    <row r="13" spans="1:13">
      <c r="A13" s="9"/>
      <c r="B13" s="9"/>
      <c r="D13" s="9" t="s">
        <v>496</v>
      </c>
      <c r="E13" s="33"/>
      <c r="F13" s="25">
        <v>554112</v>
      </c>
      <c r="H13" s="30" t="s">
        <v>497</v>
      </c>
      <c r="I13" s="9"/>
      <c r="K13" s="31">
        <v>2.5000000000000001E-2</v>
      </c>
      <c r="L13" s="9"/>
    </row>
    <row r="14" spans="1:13">
      <c r="A14" s="9"/>
      <c r="B14" s="9"/>
      <c r="C14" s="29"/>
      <c r="D14" s="9" t="s">
        <v>498</v>
      </c>
      <c r="E14" s="27"/>
      <c r="F14" s="25">
        <f>180000+59250</f>
        <v>239250</v>
      </c>
      <c r="H14" s="30" t="s">
        <v>499</v>
      </c>
      <c r="I14" s="9"/>
      <c r="K14" s="31">
        <v>2.5000000000000001E-2</v>
      </c>
      <c r="L14" s="9"/>
    </row>
    <row r="15" spans="1:13">
      <c r="A15" s="9"/>
      <c r="B15" s="9"/>
      <c r="D15" s="9" t="s">
        <v>500</v>
      </c>
      <c r="E15" s="27"/>
      <c r="F15" s="25">
        <v>0</v>
      </c>
      <c r="H15" s="30" t="s">
        <v>501</v>
      </c>
      <c r="K15" s="31">
        <v>0.05</v>
      </c>
      <c r="L15" s="9"/>
    </row>
    <row r="16" spans="1:13">
      <c r="A16" s="9"/>
      <c r="B16" s="9"/>
      <c r="D16" s="9" t="s">
        <v>502</v>
      </c>
      <c r="F16" s="25">
        <f>340000+892350</f>
        <v>1232350</v>
      </c>
      <c r="H16" s="30" t="s">
        <v>503</v>
      </c>
      <c r="I16" s="9"/>
      <c r="K16" s="31">
        <v>0.03</v>
      </c>
      <c r="L16" s="9"/>
    </row>
    <row r="17" spans="1:19">
      <c r="A17" s="9"/>
      <c r="B17" s="9"/>
      <c r="D17" s="9" t="s">
        <v>504</v>
      </c>
      <c r="F17" s="25">
        <v>638170</v>
      </c>
      <c r="H17" s="30" t="s">
        <v>505</v>
      </c>
      <c r="I17" s="9"/>
      <c r="K17" s="31">
        <v>3.5000000000000003E-2</v>
      </c>
      <c r="L17" s="9"/>
    </row>
    <row r="18" spans="1:19">
      <c r="A18" s="9"/>
      <c r="B18" s="9"/>
      <c r="D18" s="34" t="s">
        <v>506</v>
      </c>
      <c r="E18" s="33" t="s">
        <v>198</v>
      </c>
      <c r="F18" s="35">
        <f>SUM(F12:F17)</f>
        <v>2663882</v>
      </c>
      <c r="I18" s="9"/>
      <c r="K18" s="9"/>
      <c r="L18" s="9"/>
    </row>
    <row r="19" spans="1:19">
      <c r="H19" s="79" t="s">
        <v>507</v>
      </c>
      <c r="I19" s="79"/>
      <c r="J19" s="79"/>
      <c r="K19" s="79"/>
    </row>
    <row r="20" spans="1:19">
      <c r="A20" s="9"/>
      <c r="D20" s="37" t="s">
        <v>508</v>
      </c>
      <c r="E20" s="37"/>
      <c r="F20" s="35">
        <f>F9-F18</f>
        <v>24186250</v>
      </c>
      <c r="H20" s="9" t="s">
        <v>509</v>
      </c>
      <c r="I20" s="9"/>
      <c r="J20" s="20"/>
      <c r="K20" s="31">
        <v>1E-3</v>
      </c>
    </row>
    <row r="21" spans="1:19">
      <c r="A21" s="9"/>
      <c r="H21" s="9" t="s">
        <v>510</v>
      </c>
      <c r="I21" s="9"/>
      <c r="J21" s="20"/>
      <c r="K21" s="31">
        <v>0.01</v>
      </c>
      <c r="L21" s="9"/>
    </row>
    <row r="22" spans="1:19">
      <c r="A22" s="9"/>
      <c r="B22" s="36"/>
      <c r="I22" s="10"/>
      <c r="K22" s="9"/>
      <c r="L22" s="9"/>
      <c r="S22" s="38"/>
    </row>
    <row r="23" spans="1:19">
      <c r="A23" s="9"/>
      <c r="C23" s="36"/>
      <c r="D23" s="36"/>
      <c r="E23" s="36"/>
      <c r="F23" s="36"/>
      <c r="G23" s="36"/>
      <c r="K23" s="12"/>
      <c r="L23" s="12"/>
      <c r="S23" s="39"/>
    </row>
    <row r="24" spans="1:19">
      <c r="A24" s="9"/>
      <c r="B24" s="12"/>
      <c r="C24" s="11"/>
      <c r="E24" s="236" t="s">
        <v>511</v>
      </c>
      <c r="F24" s="236"/>
      <c r="G24" s="236"/>
      <c r="H24" s="236"/>
      <c r="I24" s="41"/>
      <c r="J24" s="41"/>
      <c r="K24" s="9"/>
      <c r="L24" s="9"/>
    </row>
    <row r="25" spans="1:19" ht="15.75">
      <c r="A25" s="9"/>
      <c r="B25" s="12"/>
      <c r="C25" s="21" t="s">
        <v>512</v>
      </c>
      <c r="D25" s="61" t="s">
        <v>513</v>
      </c>
      <c r="E25" s="42" t="s">
        <v>514</v>
      </c>
      <c r="F25" s="42"/>
      <c r="G25" s="42" t="s">
        <v>515</v>
      </c>
      <c r="H25" s="42"/>
      <c r="I25" s="43"/>
      <c r="K25" s="9"/>
      <c r="L25" s="9"/>
    </row>
    <row r="26" spans="1:19">
      <c r="A26" s="9"/>
      <c r="B26" s="12"/>
      <c r="C26" s="11"/>
      <c r="D26" s="27" t="s">
        <v>180</v>
      </c>
      <c r="E26" s="45">
        <v>0.05</v>
      </c>
      <c r="F26" s="46">
        <f>E26*$F$20</f>
        <v>1209312.5</v>
      </c>
      <c r="G26" s="47">
        <v>0.08</v>
      </c>
      <c r="H26" s="48">
        <f>G26*$F$20</f>
        <v>1934900</v>
      </c>
      <c r="I26" s="43"/>
      <c r="K26" s="9"/>
      <c r="L26" s="9"/>
    </row>
    <row r="27" spans="1:19" ht="17.25">
      <c r="A27" s="9"/>
      <c r="B27" s="12"/>
      <c r="C27" s="55"/>
      <c r="D27" s="27" t="s">
        <v>516</v>
      </c>
      <c r="E27" s="45">
        <v>0.01</v>
      </c>
      <c r="F27" s="46">
        <f>E27*$F$20</f>
        <v>241862.5</v>
      </c>
      <c r="G27" s="47">
        <v>0.05</v>
      </c>
      <c r="H27" s="48">
        <f>G27*$F$20</f>
        <v>1209312.5</v>
      </c>
      <c r="I27" s="50"/>
      <c r="K27" s="9"/>
      <c r="L27" s="9"/>
    </row>
    <row r="28" spans="1:19" ht="17.25">
      <c r="A28" s="9"/>
      <c r="B28" s="12"/>
      <c r="C28" s="55"/>
      <c r="D28" s="27" t="s">
        <v>517</v>
      </c>
      <c r="E28" s="45">
        <v>0.01</v>
      </c>
      <c r="F28" s="46">
        <f>E28*$F$20</f>
        <v>241862.5</v>
      </c>
      <c r="G28" s="47">
        <v>0.03</v>
      </c>
      <c r="H28" s="48">
        <f>G28*$F$20</f>
        <v>725587.5</v>
      </c>
      <c r="I28" s="50"/>
      <c r="K28" s="9"/>
      <c r="L28" s="9"/>
      <c r="P28" s="37"/>
      <c r="Q28" s="37"/>
    </row>
    <row r="29" spans="1:19" ht="17.25">
      <c r="A29" s="9"/>
      <c r="B29" s="12"/>
      <c r="C29" s="55"/>
      <c r="D29" s="27" t="s">
        <v>518</v>
      </c>
      <c r="E29" s="45">
        <v>0.02</v>
      </c>
      <c r="F29" s="46">
        <f>E29*$F$20</f>
        <v>483725</v>
      </c>
      <c r="G29" s="47">
        <v>2.5000000000000001E-2</v>
      </c>
      <c r="H29" s="48">
        <f>G29*$F$20</f>
        <v>604656.25</v>
      </c>
      <c r="I29" s="50"/>
      <c r="K29" s="9"/>
      <c r="L29" s="9"/>
      <c r="P29" s="37"/>
      <c r="Q29" s="37"/>
    </row>
    <row r="30" spans="1:19" ht="17.25" hidden="1">
      <c r="A30" s="9"/>
      <c r="B30" s="12"/>
      <c r="C30" s="49"/>
      <c r="D30" s="44"/>
      <c r="E30" s="45"/>
      <c r="F30" s="46">
        <f>E30*$F$20</f>
        <v>0</v>
      </c>
      <c r="G30" s="47"/>
      <c r="H30" s="48">
        <f>G30*$F$20</f>
        <v>0</v>
      </c>
      <c r="I30" s="50"/>
      <c r="K30" s="9"/>
      <c r="L30" s="9"/>
      <c r="Q30" s="35"/>
    </row>
    <row r="31" spans="1:19" ht="17.25">
      <c r="A31" s="9"/>
      <c r="B31" s="12"/>
      <c r="C31" s="49"/>
      <c r="D31" s="27"/>
      <c r="E31" s="51"/>
      <c r="F31" s="12"/>
      <c r="G31" s="51"/>
      <c r="H31" s="12"/>
      <c r="I31" s="9"/>
      <c r="K31" s="9"/>
      <c r="L31" s="9"/>
    </row>
    <row r="32" spans="1:19">
      <c r="A32" s="9"/>
      <c r="B32" s="12"/>
      <c r="C32" s="11"/>
      <c r="D32" s="52" t="s">
        <v>519</v>
      </c>
      <c r="E32" s="42" t="s">
        <v>514</v>
      </c>
      <c r="F32" s="42"/>
      <c r="G32" s="42" t="s">
        <v>515</v>
      </c>
      <c r="H32" s="42"/>
      <c r="I32" s="9"/>
      <c r="K32" s="9"/>
      <c r="L32" s="9"/>
    </row>
    <row r="33" spans="1:17">
      <c r="A33" s="9"/>
      <c r="B33" s="12"/>
      <c r="C33" s="11"/>
      <c r="D33" s="27" t="s">
        <v>520</v>
      </c>
      <c r="E33" s="45">
        <f>SUM(E26:E30)</f>
        <v>9.0000000000000011E-2</v>
      </c>
      <c r="F33" s="46">
        <f>SUM(F26:F30)</f>
        <v>2176762.5</v>
      </c>
      <c r="G33" s="47">
        <f>IF(SUM(G26:G30)&lt;&gt;K11,"error",SUM(G26:G30))</f>
        <v>0.185</v>
      </c>
      <c r="H33" s="48">
        <f>SUM(H26:H30)</f>
        <v>4474456.25</v>
      </c>
      <c r="I33" s="9"/>
      <c r="K33" s="9"/>
      <c r="L33" s="9"/>
      <c r="P33" s="27"/>
    </row>
    <row r="34" spans="1:17">
      <c r="A34" s="9"/>
      <c r="B34" s="12"/>
      <c r="C34" s="11"/>
      <c r="D34" s="44"/>
      <c r="E34" s="12"/>
      <c r="F34" s="12"/>
      <c r="I34" s="9"/>
      <c r="K34" s="9"/>
      <c r="L34" s="9"/>
      <c r="P34" s="45"/>
      <c r="Q34" s="46"/>
    </row>
    <row r="35" spans="1:17">
      <c r="A35" s="9"/>
      <c r="B35" s="12"/>
      <c r="C35" s="11"/>
      <c r="D35" s="52" t="s">
        <v>519</v>
      </c>
      <c r="E35" s="53" t="s">
        <v>521</v>
      </c>
      <c r="F35" s="53" t="s">
        <v>522</v>
      </c>
      <c r="G35" s="42" t="s">
        <v>523</v>
      </c>
      <c r="H35" s="42"/>
      <c r="I35" s="9"/>
      <c r="K35" s="9"/>
      <c r="L35" s="9"/>
      <c r="P35" s="47"/>
      <c r="Q35" s="48"/>
    </row>
    <row r="36" spans="1:17">
      <c r="A36" s="9"/>
      <c r="B36" s="12"/>
      <c r="C36" s="11"/>
      <c r="D36" s="27" t="s">
        <v>524</v>
      </c>
      <c r="E36" s="78">
        <f>F9</f>
        <v>26850132</v>
      </c>
      <c r="F36" s="78">
        <f>F20/12</f>
        <v>2015520.8333333333</v>
      </c>
      <c r="G36" s="54" t="s">
        <v>525</v>
      </c>
      <c r="H36" s="48">
        <f>F36*2</f>
        <v>4031041.6666666665</v>
      </c>
      <c r="I36" s="9"/>
      <c r="K36" s="9"/>
      <c r="L36" s="9"/>
    </row>
    <row r="37" spans="1:17">
      <c r="A37" s="9"/>
      <c r="B37" s="12"/>
      <c r="C37" s="11"/>
      <c r="D37" s="27" t="s">
        <v>526</v>
      </c>
      <c r="E37" s="78">
        <f>F9</f>
        <v>26850132</v>
      </c>
      <c r="F37" s="78">
        <f>F20/12</f>
        <v>2015520.8333333333</v>
      </c>
      <c r="G37" s="54" t="s">
        <v>527</v>
      </c>
      <c r="H37" s="67">
        <f>F36*3</f>
        <v>6046562.5</v>
      </c>
      <c r="I37" s="9"/>
      <c r="K37" s="9"/>
      <c r="L37" s="9"/>
      <c r="P37" s="27"/>
    </row>
    <row r="38" spans="1:17">
      <c r="A38" s="9"/>
      <c r="B38" s="12"/>
      <c r="C38" s="11"/>
      <c r="E38" s="12"/>
      <c r="F38" s="12"/>
      <c r="I38" s="9"/>
      <c r="K38" s="9"/>
      <c r="L38" s="9"/>
      <c r="P38" s="45"/>
      <c r="Q38" s="46"/>
    </row>
    <row r="39" spans="1:17">
      <c r="A39" s="9"/>
      <c r="B39" s="12"/>
      <c r="C39" s="11"/>
      <c r="E39" s="40" t="s">
        <v>511</v>
      </c>
      <c r="F39" s="40"/>
      <c r="G39" s="41"/>
      <c r="H39" s="41"/>
      <c r="I39" s="9"/>
      <c r="K39" s="9"/>
      <c r="L39" s="9"/>
      <c r="P39" s="47"/>
      <c r="Q39" s="48"/>
    </row>
    <row r="40" spans="1:17">
      <c r="A40" s="9"/>
      <c r="B40" s="12"/>
      <c r="C40" s="11"/>
      <c r="D40" s="52" t="s">
        <v>528</v>
      </c>
      <c r="E40" s="42" t="s">
        <v>514</v>
      </c>
      <c r="F40" s="42"/>
      <c r="G40" s="42" t="s">
        <v>515</v>
      </c>
      <c r="H40" s="42"/>
      <c r="I40" s="9"/>
      <c r="K40" s="9"/>
      <c r="L40" s="9"/>
    </row>
    <row r="41" spans="1:17" ht="17.25">
      <c r="A41" s="9"/>
      <c r="B41" s="36"/>
      <c r="C41" s="55"/>
      <c r="D41" s="27" t="s">
        <v>495</v>
      </c>
      <c r="E41" s="45">
        <f>G41/2</f>
        <v>5.0000000000000001E-3</v>
      </c>
      <c r="F41" s="46">
        <f>E41*$F$20</f>
        <v>120931.25</v>
      </c>
      <c r="G41" s="47">
        <f>K12</f>
        <v>0.01</v>
      </c>
      <c r="H41" s="48">
        <f>G41*$F$20</f>
        <v>241862.5</v>
      </c>
      <c r="I41" s="9"/>
      <c r="K41" s="9"/>
      <c r="L41" s="9"/>
    </row>
    <row r="42" spans="1:17">
      <c r="A42" s="9"/>
      <c r="B42" s="36"/>
      <c r="C42" s="11"/>
      <c r="E42" s="12"/>
      <c r="F42" s="12"/>
      <c r="I42" s="9"/>
      <c r="K42" s="9"/>
      <c r="L42" s="9"/>
      <c r="P42" s="127"/>
      <c r="Q42" s="128"/>
    </row>
    <row r="43" spans="1:17">
      <c r="A43" s="9"/>
      <c r="B43" s="36"/>
      <c r="C43" s="11"/>
      <c r="E43" s="12"/>
      <c r="F43" s="12"/>
      <c r="I43" s="9"/>
      <c r="K43" s="9"/>
      <c r="L43" s="9"/>
      <c r="P43" s="129"/>
      <c r="Q43" s="130"/>
    </row>
    <row r="44" spans="1:17">
      <c r="A44" s="9"/>
      <c r="B44" s="36"/>
      <c r="C44" s="11"/>
      <c r="E44" s="236" t="s">
        <v>511</v>
      </c>
      <c r="F44" s="236"/>
      <c r="G44" s="236"/>
      <c r="H44" s="236"/>
      <c r="I44" s="41"/>
      <c r="J44" s="41"/>
      <c r="K44" s="9"/>
      <c r="L44" s="9"/>
    </row>
    <row r="45" spans="1:17" ht="15.75">
      <c r="A45" s="9"/>
      <c r="B45" s="36"/>
      <c r="C45" s="21" t="s">
        <v>529</v>
      </c>
      <c r="D45" s="61" t="s">
        <v>530</v>
      </c>
      <c r="E45" s="42" t="s">
        <v>514</v>
      </c>
      <c r="F45" s="42"/>
      <c r="G45" s="42" t="s">
        <v>515</v>
      </c>
      <c r="H45" s="42"/>
      <c r="I45" s="9"/>
      <c r="K45" s="9"/>
      <c r="L45" s="9"/>
    </row>
    <row r="46" spans="1:17" ht="17.25">
      <c r="A46" s="9"/>
      <c r="B46" s="12"/>
      <c r="C46" s="55"/>
      <c r="D46" s="27" t="s">
        <v>517</v>
      </c>
      <c r="E46" s="45">
        <f>E28</f>
        <v>0.01</v>
      </c>
      <c r="F46" s="46">
        <f>E46*$F$20</f>
        <v>241862.5</v>
      </c>
      <c r="G46" s="47">
        <f>G28</f>
        <v>0.03</v>
      </c>
      <c r="H46" s="48">
        <f>G46*$F$20</f>
        <v>725587.5</v>
      </c>
      <c r="I46" s="50"/>
      <c r="K46" s="9"/>
      <c r="L46" s="9"/>
    </row>
    <row r="47" spans="1:17" ht="17.25">
      <c r="A47" s="9"/>
      <c r="B47" s="36"/>
      <c r="C47" s="49"/>
      <c r="D47" s="27" t="s">
        <v>518</v>
      </c>
      <c r="E47" s="45">
        <f>E29</f>
        <v>0.02</v>
      </c>
      <c r="F47" s="46">
        <f>E47*$F$20</f>
        <v>483725</v>
      </c>
      <c r="G47" s="47">
        <f>G29</f>
        <v>2.5000000000000001E-2</v>
      </c>
      <c r="H47" s="48">
        <f>G47*$F$20</f>
        <v>604656.25</v>
      </c>
      <c r="I47" s="9"/>
      <c r="K47" s="9"/>
      <c r="L47" s="9"/>
    </row>
    <row r="48" spans="1:17" ht="17.25">
      <c r="A48" s="9"/>
      <c r="B48" s="36"/>
      <c r="C48" s="49"/>
      <c r="D48" s="27" t="s">
        <v>531</v>
      </c>
      <c r="E48" s="45" t="s">
        <v>532</v>
      </c>
      <c r="F48" s="46" t="s">
        <v>532</v>
      </c>
      <c r="G48" s="47" t="s">
        <v>532</v>
      </c>
      <c r="H48" s="48" t="s">
        <v>532</v>
      </c>
      <c r="I48" s="9"/>
      <c r="K48" s="9"/>
      <c r="L48" s="9"/>
    </row>
    <row r="49" spans="1:12">
      <c r="A49" s="9"/>
      <c r="B49" s="36"/>
      <c r="C49" s="11"/>
      <c r="E49" s="12"/>
      <c r="F49" s="12"/>
      <c r="I49" s="9"/>
      <c r="K49" s="9"/>
      <c r="L49" s="9"/>
    </row>
    <row r="50" spans="1:12">
      <c r="A50" s="9"/>
      <c r="B50" s="36"/>
      <c r="C50" s="11"/>
      <c r="E50" s="12"/>
      <c r="F50" s="12"/>
      <c r="I50" s="9"/>
      <c r="K50" s="9"/>
      <c r="L50" s="9"/>
    </row>
    <row r="51" spans="1:12">
      <c r="A51" s="9"/>
      <c r="B51" s="36"/>
      <c r="C51" s="11"/>
      <c r="E51" s="40" t="s">
        <v>511</v>
      </c>
      <c r="F51" s="40"/>
      <c r="G51" s="41"/>
      <c r="H51" s="41"/>
      <c r="I51" s="41"/>
      <c r="J51" s="41"/>
      <c r="K51" s="9"/>
      <c r="L51" s="9"/>
    </row>
    <row r="52" spans="1:12" ht="15.75">
      <c r="A52" s="9"/>
      <c r="B52" s="36"/>
      <c r="C52" s="21" t="s">
        <v>533</v>
      </c>
      <c r="D52" s="61" t="s">
        <v>534</v>
      </c>
      <c r="E52" s="42" t="s">
        <v>514</v>
      </c>
      <c r="F52" s="42"/>
      <c r="G52" s="42" t="s">
        <v>515</v>
      </c>
      <c r="H52" s="42"/>
      <c r="I52" s="42" t="s">
        <v>535</v>
      </c>
      <c r="J52" s="42"/>
      <c r="K52" s="9"/>
      <c r="L52" s="9"/>
    </row>
    <row r="53" spans="1:12">
      <c r="A53" s="9"/>
      <c r="B53" s="36"/>
      <c r="C53" s="11"/>
      <c r="D53" s="27" t="s">
        <v>536</v>
      </c>
      <c r="E53" s="45">
        <v>0.02</v>
      </c>
      <c r="F53" s="46">
        <f>E53*$F$20</f>
        <v>483725</v>
      </c>
      <c r="G53" s="229">
        <f>K13</f>
        <v>2.5000000000000001E-2</v>
      </c>
      <c r="H53" s="48">
        <f>G53*$F$20</f>
        <v>604656.25</v>
      </c>
      <c r="I53" s="45">
        <v>0.1</v>
      </c>
      <c r="J53" s="46">
        <f>I53*$F$20</f>
        <v>2418625</v>
      </c>
      <c r="K53" s="9"/>
      <c r="L53" s="9"/>
    </row>
    <row r="54" spans="1:12">
      <c r="A54" s="9"/>
      <c r="B54" s="36"/>
      <c r="C54" s="11"/>
      <c r="D54" s="27" t="s">
        <v>537</v>
      </c>
      <c r="E54" s="45">
        <v>0.05</v>
      </c>
      <c r="F54" s="46">
        <f>E54*$F$20</f>
        <v>1209312.5</v>
      </c>
      <c r="G54" s="229">
        <f>K13+K14</f>
        <v>0.05</v>
      </c>
      <c r="H54" s="48">
        <f>G54*$F$20</f>
        <v>1209312.5</v>
      </c>
      <c r="I54" s="45">
        <v>0.12</v>
      </c>
      <c r="J54" s="46">
        <f>I54*$F$20</f>
        <v>2902350</v>
      </c>
      <c r="K54" s="9"/>
      <c r="L54" s="9"/>
    </row>
    <row r="55" spans="1:12">
      <c r="A55" s="9"/>
      <c r="B55" s="36"/>
      <c r="C55" s="11"/>
      <c r="D55" s="27" t="s">
        <v>538</v>
      </c>
      <c r="E55" s="45">
        <f>E26*0.5</f>
        <v>2.5000000000000001E-2</v>
      </c>
      <c r="F55" s="46">
        <f>E55*$F$20</f>
        <v>604656.25</v>
      </c>
      <c r="G55" s="229">
        <f>K15</f>
        <v>0.05</v>
      </c>
      <c r="H55" s="48">
        <f>G55*$F$20</f>
        <v>1209312.5</v>
      </c>
      <c r="I55" s="45"/>
      <c r="J55" s="46"/>
      <c r="K55" s="9"/>
      <c r="L55" s="9"/>
    </row>
    <row r="56" spans="1:12">
      <c r="A56" s="9"/>
      <c r="B56" s="36"/>
      <c r="C56" s="56"/>
      <c r="I56" s="9"/>
      <c r="K56" s="9"/>
      <c r="L56" s="9"/>
    </row>
    <row r="57" spans="1:12">
      <c r="A57" s="9"/>
      <c r="B57" s="36"/>
      <c r="C57" s="56"/>
      <c r="E57" s="12"/>
      <c r="F57" s="12"/>
      <c r="I57" s="9"/>
      <c r="K57" s="9"/>
      <c r="L57" s="9"/>
    </row>
    <row r="58" spans="1:12" ht="15.75">
      <c r="A58" s="9"/>
      <c r="B58" s="36"/>
      <c r="C58" s="21" t="s">
        <v>539</v>
      </c>
      <c r="D58" s="61" t="s">
        <v>540</v>
      </c>
      <c r="E58" s="42" t="s">
        <v>514</v>
      </c>
      <c r="F58" s="42"/>
      <c r="G58" s="42" t="s">
        <v>515</v>
      </c>
      <c r="H58" s="42"/>
      <c r="I58" s="42" t="s">
        <v>535</v>
      </c>
      <c r="J58" s="42"/>
      <c r="K58" s="9"/>
      <c r="L58" s="9"/>
    </row>
    <row r="59" spans="1:12" ht="17.25">
      <c r="A59" s="9"/>
      <c r="B59" s="36"/>
      <c r="C59" s="55" t="s">
        <v>541</v>
      </c>
      <c r="D59" s="27" t="s">
        <v>542</v>
      </c>
      <c r="E59" s="45">
        <f>G59/2</f>
        <v>1.4999999999999999E-2</v>
      </c>
      <c r="F59" s="46">
        <f>E59*$F$20</f>
        <v>362793.75</v>
      </c>
      <c r="G59" s="57">
        <f>K16</f>
        <v>0.03</v>
      </c>
      <c r="H59" s="48">
        <f>G59*$F$20</f>
        <v>725587.5</v>
      </c>
      <c r="I59" s="45">
        <f>G59*2</f>
        <v>0.06</v>
      </c>
      <c r="J59" s="46">
        <f>I59*$F$20</f>
        <v>1451175</v>
      </c>
      <c r="K59" s="50"/>
      <c r="L59" s="9"/>
    </row>
    <row r="60" spans="1:12">
      <c r="A60" s="9"/>
      <c r="B60" s="36"/>
      <c r="C60" s="56"/>
      <c r="D60" s="27" t="s">
        <v>543</v>
      </c>
      <c r="E60" s="45">
        <f>G60/2</f>
        <v>3.2500000000000001E-2</v>
      </c>
      <c r="F60" s="46">
        <f>E60*$F$20</f>
        <v>786053.125</v>
      </c>
      <c r="G60" s="58">
        <f>K16+K17</f>
        <v>6.5000000000000002E-2</v>
      </c>
      <c r="H60" s="48">
        <f>G60*$F$20</f>
        <v>1572106.25</v>
      </c>
      <c r="I60" s="45">
        <f>G60*2</f>
        <v>0.13</v>
      </c>
      <c r="J60" s="46">
        <f>I60*$F$20</f>
        <v>3144212.5</v>
      </c>
      <c r="K60" s="9"/>
      <c r="L60" s="9"/>
    </row>
    <row r="61" spans="1:12">
      <c r="A61" s="9"/>
      <c r="B61" s="9"/>
      <c r="C61" s="56"/>
      <c r="I61" s="9"/>
      <c r="K61" s="9"/>
      <c r="L61" s="9"/>
    </row>
    <row r="62" spans="1:12">
      <c r="A62" s="9"/>
      <c r="B62" s="9"/>
      <c r="C62" s="56"/>
      <c r="D62" s="27" t="s">
        <v>544</v>
      </c>
      <c r="E62" s="12"/>
      <c r="F62" s="46">
        <f>$K$7</f>
        <v>250000</v>
      </c>
      <c r="I62" s="9"/>
      <c r="K62" s="9"/>
      <c r="L62" s="9"/>
    </row>
    <row r="63" spans="1:12">
      <c r="A63" s="9"/>
      <c r="B63" s="9"/>
      <c r="C63" s="56"/>
      <c r="E63" s="12"/>
      <c r="F63" s="12"/>
      <c r="I63" s="9"/>
      <c r="K63" s="9"/>
      <c r="L63" s="9"/>
    </row>
    <row r="64" spans="1:12" ht="17.25">
      <c r="A64" s="9"/>
      <c r="C64" s="49" t="s">
        <v>541</v>
      </c>
      <c r="D64" s="80" t="s">
        <v>545</v>
      </c>
      <c r="H64" s="20"/>
      <c r="K64" s="9"/>
    </row>
    <row r="65" spans="1:12">
      <c r="A65" s="9"/>
      <c r="C65" s="11"/>
      <c r="E65" s="20"/>
      <c r="F65" s="20"/>
      <c r="I65" s="9"/>
      <c r="K65" s="9"/>
      <c r="L65" s="9"/>
    </row>
    <row r="66" spans="1:12">
      <c r="A66" s="9"/>
      <c r="C66" s="11"/>
      <c r="E66" s="20"/>
      <c r="F66" s="20"/>
      <c r="I66" s="9"/>
      <c r="K66" s="9"/>
      <c r="L66" s="9"/>
    </row>
    <row r="67" spans="1:12">
      <c r="A67" s="9"/>
      <c r="C67" s="56"/>
      <c r="E67" s="20"/>
      <c r="F67" s="20"/>
      <c r="I67" s="9"/>
      <c r="K67" s="9"/>
      <c r="L67" s="9"/>
    </row>
    <row r="68" spans="1:12">
      <c r="A68" s="9"/>
      <c r="C68" s="56"/>
      <c r="E68" s="20"/>
      <c r="F68" s="20"/>
      <c r="I68" s="9"/>
      <c r="K68" s="9"/>
      <c r="L68" s="9"/>
    </row>
    <row r="69" spans="1:12">
      <c r="A69" s="9"/>
      <c r="C69" s="56"/>
      <c r="E69" s="20"/>
      <c r="F69" s="20"/>
      <c r="I69" s="9"/>
      <c r="K69" s="9"/>
      <c r="L69" s="9"/>
    </row>
    <row r="70" spans="1:12">
      <c r="A70" s="9"/>
      <c r="C70" s="56"/>
      <c r="I70" s="9"/>
      <c r="K70" s="9"/>
      <c r="L70" s="9"/>
    </row>
    <row r="71" spans="1:12">
      <c r="A71" s="9"/>
      <c r="C71" s="11"/>
      <c r="I71" s="9"/>
      <c r="K71" s="9"/>
      <c r="L71" s="9"/>
    </row>
    <row r="72" spans="1:12">
      <c r="A72" s="9"/>
      <c r="C72" s="56"/>
      <c r="I72" s="9"/>
      <c r="K72" s="9"/>
      <c r="L72" s="9"/>
    </row>
    <row r="73" spans="1:12">
      <c r="A73" s="9"/>
      <c r="C73" s="56"/>
      <c r="I73" s="9"/>
    </row>
    <row r="74" spans="1:12">
      <c r="A74" s="9"/>
      <c r="C74" s="56"/>
      <c r="I74" s="9"/>
    </row>
    <row r="75" spans="1:12">
      <c r="A75" s="9"/>
      <c r="C75" s="56"/>
      <c r="I75" s="9"/>
    </row>
    <row r="76" spans="1:12">
      <c r="A76" s="9"/>
      <c r="C76" s="56"/>
      <c r="I76" s="9"/>
    </row>
    <row r="77" spans="1:12">
      <c r="A77" s="9"/>
      <c r="C77" s="56"/>
      <c r="I77" s="9"/>
    </row>
    <row r="78" spans="1:12">
      <c r="A78" s="9"/>
      <c r="C78" s="56"/>
      <c r="I78" s="9"/>
    </row>
    <row r="79" spans="1:12">
      <c r="A79" s="9"/>
      <c r="C79" s="11"/>
      <c r="I79" s="9"/>
    </row>
    <row r="80" spans="1:12">
      <c r="C80" s="56"/>
      <c r="I80" s="9"/>
    </row>
    <row r="81" spans="3:9">
      <c r="C81" s="56"/>
      <c r="I81" s="9"/>
    </row>
    <row r="82" spans="3:9">
      <c r="C82" s="56"/>
      <c r="I82" s="9"/>
    </row>
    <row r="83" spans="3:9">
      <c r="C83" s="56"/>
      <c r="I83" s="9"/>
    </row>
    <row r="84" spans="3:9">
      <c r="C84" s="56"/>
      <c r="I84" s="9"/>
    </row>
    <row r="85" spans="3:9">
      <c r="C85" s="11"/>
      <c r="E85" s="20"/>
      <c r="F85" s="20"/>
      <c r="I85" s="9"/>
    </row>
    <row r="86" spans="3:9">
      <c r="C86" s="11"/>
      <c r="E86" s="20"/>
      <c r="F86" s="20"/>
      <c r="I86" s="9"/>
    </row>
    <row r="87" spans="3:9">
      <c r="C87" s="11"/>
      <c r="E87" s="20"/>
      <c r="F87" s="20"/>
      <c r="I87" s="9"/>
    </row>
    <row r="88" spans="3:9">
      <c r="C88" s="11"/>
      <c r="E88" s="20"/>
      <c r="F88" s="20"/>
      <c r="I88" s="9"/>
    </row>
    <row r="89" spans="3:9">
      <c r="C89" s="11"/>
      <c r="E89" s="20"/>
      <c r="F89" s="20"/>
      <c r="I89" s="9"/>
    </row>
    <row r="90" spans="3:9">
      <c r="C90" s="11"/>
      <c r="E90" s="20"/>
      <c r="F90" s="20"/>
      <c r="I90" s="9"/>
    </row>
    <row r="91" spans="3:9">
      <c r="C91" s="11"/>
      <c r="E91" s="20"/>
      <c r="F91" s="20"/>
      <c r="I91" s="9"/>
    </row>
    <row r="92" spans="3:9">
      <c r="C92" s="11"/>
      <c r="E92" s="20"/>
      <c r="F92" s="20"/>
      <c r="I92" s="9"/>
    </row>
    <row r="93" spans="3:9">
      <c r="C93" s="11"/>
      <c r="E93" s="20"/>
      <c r="F93" s="20"/>
      <c r="I93" s="9"/>
    </row>
    <row r="94" spans="3:9">
      <c r="C94" s="11"/>
      <c r="E94" s="20"/>
      <c r="F94" s="20"/>
      <c r="I94" s="9"/>
    </row>
    <row r="95" spans="3:9">
      <c r="C95" s="11"/>
      <c r="E95" s="20"/>
      <c r="F95" s="20"/>
      <c r="I95" s="9"/>
    </row>
    <row r="96" spans="3:9">
      <c r="C96" s="11"/>
      <c r="E96" s="20"/>
      <c r="F96" s="20"/>
      <c r="I96" s="9"/>
    </row>
    <row r="104" spans="1:12">
      <c r="A104" s="9"/>
      <c r="B104" s="9"/>
      <c r="C104" s="59"/>
    </row>
    <row r="105" spans="1:12">
      <c r="A105" s="9"/>
      <c r="B105" s="9"/>
      <c r="C105" s="59"/>
    </row>
    <row r="106" spans="1:12">
      <c r="A106" s="9"/>
      <c r="B106" s="9"/>
      <c r="C106" s="59"/>
    </row>
    <row r="107" spans="1:12">
      <c r="A107" s="9"/>
      <c r="B107" s="9"/>
      <c r="C107" s="59"/>
    </row>
    <row r="108" spans="1:12">
      <c r="A108" s="9"/>
      <c r="B108" s="9"/>
      <c r="C108" s="59"/>
      <c r="K108" s="9"/>
      <c r="L108" s="9"/>
    </row>
    <row r="109" spans="1:12">
      <c r="A109" s="9"/>
      <c r="B109" s="9"/>
      <c r="C109" s="59"/>
      <c r="K109" s="9"/>
      <c r="L109" s="9"/>
    </row>
  </sheetData>
  <mergeCells count="3">
    <mergeCell ref="H10:K10"/>
    <mergeCell ref="E24:H24"/>
    <mergeCell ref="E44:H44"/>
  </mergeCells>
  <pageMargins left="0.25" right="0.25" top="0.48" bottom="0.25" header="0.35" footer="0.3"/>
  <pageSetup scale="71" fitToHeight="0" orientation="portrait" r:id="rId1"/>
  <ignoredErrors>
    <ignoredError sqref="G53:G55 G59:G60 F47:G47 I59:I60 F55 H55 G41 G33 F46:G46" formula="1"/>
  </ignoredError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Division of Local Services</dc:creator>
  <cp:keywords/>
  <dc:description/>
  <cp:lastModifiedBy>Matthew Chabot</cp:lastModifiedBy>
  <cp:revision/>
  <dcterms:created xsi:type="dcterms:W3CDTF">2019-02-26T18:29:22Z</dcterms:created>
  <dcterms:modified xsi:type="dcterms:W3CDTF">2026-04-17T18:59:27Z</dcterms:modified>
  <cp:category/>
  <cp:contentStatus/>
</cp:coreProperties>
</file>