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05"/>
  <workbookPr/>
  <mc:AlternateContent xmlns:mc="http://schemas.openxmlformats.org/markup-compatibility/2006">
    <mc:Choice Requires="x15">
      <x15ac:absPath xmlns:x15ac="http://schemas.microsoft.com/office/spreadsheetml/2010/11/ac" url="E:\Budget FY2027\"/>
    </mc:Choice>
  </mc:AlternateContent>
  <xr:revisionPtr revIDLastSave="0" documentId="8_{383B8261-67C0-4C1C-ACBF-AEEB3A6252CB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Final Page for Print" sheetId="6" r:id="rId1"/>
    <sheet name="APPENDIX A FOR INPUT" sheetId="4" r:id="rId2"/>
    <sheet name="Budget Distribution" sheetId="11" r:id="rId3"/>
    <sheet name="Revenue Sources" sheetId="12" r:id="rId4"/>
    <sheet name="Operating Budget for Print" sheetId="8" r:id="rId5"/>
  </sheets>
  <externalReferences>
    <externalReference r:id="rId6"/>
  </externalReferences>
  <definedNames>
    <definedName name="_xlnm.Print_Area" localSheetId="1">'APPENDIX A FOR INPUT'!$A$333:$K$351</definedName>
    <definedName name="_xlnm.Print_Area" localSheetId="2">'Budget Distribution'!$E$3:$S$36</definedName>
    <definedName name="_xlnm.Print_Area" localSheetId="4">'Operating Budget for Print'!$A$1:$F$469</definedName>
    <definedName name="_xlnm.Print_Area" localSheetId="3">'Revenue Sources'!$C$9:$N$78</definedName>
    <definedName name="_xlnm.Print_Titles" localSheetId="1">'APPENDIX A FOR INPUT'!$1:$8</definedName>
    <definedName name="_xlnm.Print_Titles" localSheetId="4">'Operating Budget for Print'!$1:$5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45" i="4" l="1"/>
  <c r="K548" i="4" s="1"/>
  <c r="K540" i="4"/>
  <c r="K512" i="4"/>
  <c r="K488" i="4"/>
  <c r="K478" i="4"/>
  <c r="K463" i="4"/>
  <c r="K457" i="4"/>
  <c r="K447" i="4"/>
  <c r="K442" i="4"/>
  <c r="K436" i="4"/>
  <c r="K395" i="4"/>
  <c r="K393" i="4"/>
  <c r="K392" i="4"/>
  <c r="K388" i="4"/>
  <c r="K397" i="4" s="1"/>
  <c r="K382" i="4"/>
  <c r="K373" i="4"/>
  <c r="K365" i="4"/>
  <c r="K351" i="4"/>
  <c r="K319" i="4"/>
  <c r="K331" i="4" s="1"/>
  <c r="K314" i="4"/>
  <c r="K289" i="4"/>
  <c r="K265" i="4"/>
  <c r="K217" i="4"/>
  <c r="K208" i="4"/>
  <c r="K211" i="4" s="1"/>
  <c r="K205" i="4"/>
  <c r="K200" i="4"/>
  <c r="K195" i="4"/>
  <c r="K189" i="4"/>
  <c r="K157" i="4"/>
  <c r="K165" i="4" s="1"/>
  <c r="K154" i="4"/>
  <c r="K149" i="4"/>
  <c r="K136" i="4"/>
  <c r="K114" i="4"/>
  <c r="K111" i="4"/>
  <c r="K110" i="4"/>
  <c r="K121" i="4" s="1"/>
  <c r="K106" i="4"/>
  <c r="K100" i="4"/>
  <c r="K89" i="4"/>
  <c r="K76" i="4"/>
  <c r="K47" i="4"/>
  <c r="K56" i="4" s="1"/>
  <c r="K42" i="4"/>
  <c r="K24" i="4"/>
  <c r="K33" i="4" s="1"/>
  <c r="K19" i="4"/>
  <c r="K13" i="4"/>
  <c r="K552" i="4" s="1"/>
  <c r="J545" i="4"/>
  <c r="J548" i="4" s="1"/>
  <c r="J540" i="4"/>
  <c r="J512" i="4"/>
  <c r="J488" i="4"/>
  <c r="J478" i="4"/>
  <c r="J463" i="4"/>
  <c r="J457" i="4"/>
  <c r="J447" i="4"/>
  <c r="J442" i="4"/>
  <c r="J436" i="4"/>
  <c r="J395" i="4"/>
  <c r="J393" i="4"/>
  <c r="J392" i="4"/>
  <c r="J388" i="4"/>
  <c r="J397" i="4" s="1"/>
  <c r="J382" i="4"/>
  <c r="J373" i="4"/>
  <c r="J365" i="4"/>
  <c r="J351" i="4"/>
  <c r="J319" i="4"/>
  <c r="J331" i="4" s="1"/>
  <c r="J314" i="4"/>
  <c r="J289" i="4"/>
  <c r="J265" i="4"/>
  <c r="J217" i="4"/>
  <c r="J208" i="4"/>
  <c r="J211" i="4" s="1"/>
  <c r="J205" i="4"/>
  <c r="J200" i="4"/>
  <c r="J195" i="4"/>
  <c r="J189" i="4"/>
  <c r="J157" i="4"/>
  <c r="J165" i="4" s="1"/>
  <c r="J154" i="4"/>
  <c r="J149" i="4"/>
  <c r="J136" i="4"/>
  <c r="J114" i="4"/>
  <c r="J111" i="4"/>
  <c r="J110" i="4"/>
  <c r="J121" i="4" s="1"/>
  <c r="J106" i="4"/>
  <c r="J100" i="4"/>
  <c r="J89" i="4"/>
  <c r="J76" i="4"/>
  <c r="J47" i="4"/>
  <c r="J56" i="4" s="1"/>
  <c r="J42" i="4"/>
  <c r="J24" i="4"/>
  <c r="J33" i="4" s="1"/>
  <c r="J19" i="4"/>
  <c r="J13" i="4"/>
  <c r="J552" i="4" s="1"/>
  <c r="I31" i="6"/>
  <c r="I13" i="6"/>
  <c r="G25" i="6"/>
  <c r="B45" i="6"/>
  <c r="B40" i="6"/>
  <c r="B44" i="6"/>
  <c r="G7" i="6"/>
  <c r="G11" i="6"/>
  <c r="M18" i="4"/>
  <c r="M17" i="4"/>
  <c r="L19" i="4"/>
  <c r="L18" i="4"/>
  <c r="L17" i="4"/>
  <c r="L435" i="4"/>
  <c r="L430" i="4"/>
  <c r="L265" i="4"/>
  <c r="M541" i="4"/>
  <c r="M542" i="4"/>
  <c r="M543" i="4"/>
  <c r="N547" i="4"/>
  <c r="M547" i="4"/>
  <c r="M545" i="4"/>
  <c r="M546" i="4"/>
  <c r="L547" i="4"/>
  <c r="L546" i="4"/>
  <c r="I392" i="4"/>
  <c r="C27" i="6"/>
  <c r="I114" i="4"/>
  <c r="B43" i="6"/>
  <c r="B42" i="6"/>
  <c r="B46" i="6"/>
  <c r="I319" i="4"/>
  <c r="H18" i="4"/>
  <c r="G18" i="4"/>
  <c r="H16" i="4"/>
  <c r="G16" i="4"/>
  <c r="I388" i="4"/>
  <c r="I208" i="4"/>
  <c r="I111" i="4"/>
  <c r="I24" i="4"/>
  <c r="G22" i="6" l="1"/>
  <c r="C32" i="6" s="1"/>
  <c r="I395" i="4"/>
  <c r="L389" i="4"/>
  <c r="L392" i="4"/>
  <c r="L13" i="4" l="1"/>
  <c r="I157" i="4"/>
  <c r="L470" i="4" l="1"/>
  <c r="L466" i="4"/>
  <c r="I478" i="4"/>
  <c r="L225" i="4" l="1"/>
  <c r="C20" i="6" l="1"/>
  <c r="C25" i="6"/>
  <c r="C23" i="6"/>
  <c r="C21" i="6"/>
  <c r="I545" i="4"/>
  <c r="I393" i="4"/>
  <c r="I397" i="4" l="1"/>
  <c r="G19" i="6"/>
  <c r="L197" i="4"/>
  <c r="L391" i="4"/>
  <c r="M166" i="4"/>
  <c r="M172" i="4"/>
  <c r="L493" i="4" l="1"/>
  <c r="L491" i="4"/>
  <c r="L408" i="4"/>
  <c r="L399" i="4"/>
  <c r="M277" i="4"/>
  <c r="M276" i="4"/>
  <c r="M278" i="4" s="1"/>
  <c r="M316" i="4" l="1"/>
  <c r="M315" i="4"/>
  <c r="L227" i="4"/>
  <c r="L226" i="4"/>
  <c r="I47" i="4" l="1"/>
  <c r="I436" i="4"/>
  <c r="I512" i="4"/>
  <c r="I314" i="4"/>
  <c r="I289" i="4"/>
  <c r="G174" i="4"/>
  <c r="I351" i="4" l="1"/>
  <c r="I265" i="4"/>
  <c r="C30" i="6"/>
  <c r="C29" i="6"/>
  <c r="C22" i="6"/>
  <c r="I110" i="4" l="1"/>
  <c r="D9" i="12" l="1"/>
  <c r="C11" i="11"/>
  <c r="I136" i="4"/>
  <c r="G385" i="4"/>
  <c r="D12" i="11"/>
  <c r="G393" i="4"/>
  <c r="G394" i="4"/>
  <c r="G386" i="4"/>
  <c r="G387" i="4"/>
  <c r="G389" i="4"/>
  <c r="G390" i="4"/>
  <c r="G391" i="4"/>
  <c r="G395" i="4"/>
  <c r="G392" i="4"/>
  <c r="G11" i="4" l="1"/>
  <c r="I13" i="4"/>
  <c r="F13" i="4"/>
  <c r="I19" i="4"/>
  <c r="F19" i="4"/>
  <c r="F17" i="6" s="1"/>
  <c r="G22" i="4"/>
  <c r="G23" i="4"/>
  <c r="G24" i="4"/>
  <c r="G26" i="4"/>
  <c r="G28" i="4"/>
  <c r="G29" i="4"/>
  <c r="G30" i="4"/>
  <c r="G31" i="4"/>
  <c r="I33" i="4"/>
  <c r="G33" i="4" s="1"/>
  <c r="F33" i="4"/>
  <c r="I42" i="4"/>
  <c r="G36" i="4"/>
  <c r="G37" i="4"/>
  <c r="G38" i="4"/>
  <c r="G39" i="4"/>
  <c r="F42" i="4"/>
  <c r="G42" i="4" s="1"/>
  <c r="I56" i="4"/>
  <c r="G56" i="4" s="1"/>
  <c r="G53" i="4"/>
  <c r="G46" i="4"/>
  <c r="G47" i="4"/>
  <c r="G48" i="4"/>
  <c r="G49" i="4"/>
  <c r="G50" i="4"/>
  <c r="G51" i="4"/>
  <c r="G52" i="4"/>
  <c r="G54" i="4"/>
  <c r="F56" i="4"/>
  <c r="G59" i="4"/>
  <c r="G60" i="4"/>
  <c r="G61" i="4"/>
  <c r="G63" i="4"/>
  <c r="G64" i="4"/>
  <c r="G65" i="4"/>
  <c r="G66" i="4"/>
  <c r="G67" i="4"/>
  <c r="G69" i="4"/>
  <c r="I76" i="4"/>
  <c r="F76" i="4"/>
  <c r="G79" i="4"/>
  <c r="G80" i="4"/>
  <c r="G81" i="4"/>
  <c r="G82" i="4"/>
  <c r="G83" i="4"/>
  <c r="G84" i="4"/>
  <c r="G85" i="4"/>
  <c r="G86" i="4"/>
  <c r="G88" i="4"/>
  <c r="I89" i="4"/>
  <c r="F89" i="4"/>
  <c r="G92" i="4"/>
  <c r="G93" i="4"/>
  <c r="G95" i="4"/>
  <c r="G96" i="4"/>
  <c r="G97" i="4"/>
  <c r="G99" i="4"/>
  <c r="I100" i="4"/>
  <c r="F100" i="4"/>
  <c r="I106" i="4"/>
  <c r="G106" i="4" s="1"/>
  <c r="F106" i="4"/>
  <c r="I154" i="4"/>
  <c r="F165" i="4"/>
  <c r="I200" i="4"/>
  <c r="G200" i="4" s="1"/>
  <c r="F200" i="4"/>
  <c r="G203" i="4"/>
  <c r="I205" i="4"/>
  <c r="G205" i="4" s="1"/>
  <c r="F205" i="4"/>
  <c r="G214" i="4"/>
  <c r="G215" i="4"/>
  <c r="G19" i="4" l="1"/>
  <c r="G13" i="4"/>
  <c r="G100" i="4"/>
  <c r="G76" i="4"/>
  <c r="G89" i="4"/>
  <c r="I121" i="4" l="1"/>
  <c r="F121" i="4"/>
  <c r="G110" i="4"/>
  <c r="G111" i="4"/>
  <c r="G112" i="4"/>
  <c r="G113" i="4"/>
  <c r="G114" i="4"/>
  <c r="G115" i="4"/>
  <c r="G117" i="4"/>
  <c r="G118" i="4"/>
  <c r="G120" i="4"/>
  <c r="G124" i="4"/>
  <c r="G125" i="4"/>
  <c r="G126" i="4"/>
  <c r="G127" i="4"/>
  <c r="G128" i="4"/>
  <c r="G129" i="4"/>
  <c r="G130" i="4"/>
  <c r="G132" i="4"/>
  <c r="F136" i="4"/>
  <c r="G136" i="4" s="1"/>
  <c r="G147" i="4"/>
  <c r="I149" i="4"/>
  <c r="G139" i="4"/>
  <c r="G142" i="4"/>
  <c r="G145" i="4"/>
  <c r="F149" i="4"/>
  <c r="G152" i="4"/>
  <c r="F154" i="4"/>
  <c r="G154" i="4" s="1"/>
  <c r="G157" i="4"/>
  <c r="G158" i="4"/>
  <c r="G159" i="4"/>
  <c r="G162" i="4"/>
  <c r="I165" i="4"/>
  <c r="G185" i="4"/>
  <c r="I189" i="4"/>
  <c r="H189" i="4" s="1"/>
  <c r="G193" i="4"/>
  <c r="G192" i="4"/>
  <c r="G168" i="4"/>
  <c r="G169" i="4"/>
  <c r="G170" i="4"/>
  <c r="G172" i="4"/>
  <c r="G173" i="4"/>
  <c r="G178" i="4"/>
  <c r="G181" i="4"/>
  <c r="G182" i="4"/>
  <c r="F189" i="4"/>
  <c r="G221" i="4"/>
  <c r="G222" i="4"/>
  <c r="G223" i="4"/>
  <c r="G224" i="4"/>
  <c r="G225" i="4"/>
  <c r="G226" i="4"/>
  <c r="G227" i="4"/>
  <c r="G228" i="4"/>
  <c r="G229" i="4"/>
  <c r="G230" i="4"/>
  <c r="G233" i="4"/>
  <c r="G234" i="4"/>
  <c r="G236" i="4"/>
  <c r="G237" i="4"/>
  <c r="G238" i="4"/>
  <c r="G239" i="4"/>
  <c r="G240" i="4"/>
  <c r="G241" i="4"/>
  <c r="G242" i="4"/>
  <c r="G245" i="4"/>
  <c r="G246" i="4"/>
  <c r="G247" i="4"/>
  <c r="G248" i="4"/>
  <c r="G249" i="4"/>
  <c r="G250" i="4"/>
  <c r="G251" i="4"/>
  <c r="G252" i="4"/>
  <c r="G254" i="4"/>
  <c r="G255" i="4"/>
  <c r="G256" i="4"/>
  <c r="G257" i="4"/>
  <c r="G258" i="4"/>
  <c r="G259" i="4"/>
  <c r="G260" i="4"/>
  <c r="G261" i="4"/>
  <c r="G263" i="4"/>
  <c r="G220" i="4"/>
  <c r="I211" i="4"/>
  <c r="G211" i="4" s="1"/>
  <c r="I195" i="4"/>
  <c r="G195" i="4" s="1"/>
  <c r="F195" i="4"/>
  <c r="F211" i="4"/>
  <c r="I217" i="4"/>
  <c r="F217" i="4"/>
  <c r="H217" i="4" s="1"/>
  <c r="F289" i="4"/>
  <c r="H289" i="4" s="1"/>
  <c r="F314" i="4"/>
  <c r="H314" i="4" s="1"/>
  <c r="I331" i="4"/>
  <c r="F331" i="4"/>
  <c r="F351" i="4"/>
  <c r="H351" i="4" s="1"/>
  <c r="I365" i="4"/>
  <c r="F365" i="4"/>
  <c r="I373" i="4"/>
  <c r="F373" i="4"/>
  <c r="I463" i="4"/>
  <c r="F463" i="4"/>
  <c r="F447" i="4"/>
  <c r="I447" i="4"/>
  <c r="H447" i="4" s="1"/>
  <c r="I382" i="4"/>
  <c r="F382" i="4"/>
  <c r="G388" i="4"/>
  <c r="F397" i="4"/>
  <c r="D8" i="11" s="1"/>
  <c r="F436" i="4"/>
  <c r="I442" i="4"/>
  <c r="F442" i="4"/>
  <c r="H442" i="4" s="1"/>
  <c r="I457" i="4"/>
  <c r="F457" i="4"/>
  <c r="F478" i="4"/>
  <c r="H478" i="4" s="1"/>
  <c r="I488" i="4"/>
  <c r="F488" i="4"/>
  <c r="H488" i="4" s="1"/>
  <c r="F512" i="4"/>
  <c r="D11" i="11" s="1"/>
  <c r="G535" i="4"/>
  <c r="G536" i="4"/>
  <c r="G537" i="4"/>
  <c r="G539" i="4"/>
  <c r="G545" i="4"/>
  <c r="G546" i="4"/>
  <c r="G547" i="4"/>
  <c r="G544" i="4"/>
  <c r="F265" i="4"/>
  <c r="G265" i="4" s="1"/>
  <c r="G268" i="4"/>
  <c r="G270" i="4"/>
  <c r="G271" i="4"/>
  <c r="G272" i="4"/>
  <c r="G273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94" i="4"/>
  <c r="G295" i="4"/>
  <c r="G296" i="4"/>
  <c r="G297" i="4"/>
  <c r="G298" i="4"/>
  <c r="G299" i="4"/>
  <c r="G300" i="4"/>
  <c r="G301" i="4"/>
  <c r="G302" i="4"/>
  <c r="G303" i="4"/>
  <c r="G305" i="4"/>
  <c r="G306" i="4"/>
  <c r="G307" i="4"/>
  <c r="G308" i="4"/>
  <c r="G309" i="4"/>
  <c r="G311" i="4"/>
  <c r="G312" i="4"/>
  <c r="G317" i="4"/>
  <c r="G319" i="4"/>
  <c r="G324" i="4"/>
  <c r="G325" i="4"/>
  <c r="G326" i="4"/>
  <c r="G328" i="4"/>
  <c r="G329" i="4"/>
  <c r="G334" i="4"/>
  <c r="G335" i="4"/>
  <c r="G336" i="4"/>
  <c r="G337" i="4"/>
  <c r="G339" i="4"/>
  <c r="G340" i="4"/>
  <c r="G341" i="4"/>
  <c r="G342" i="4"/>
  <c r="G343" i="4"/>
  <c r="G344" i="4"/>
  <c r="G345" i="4"/>
  <c r="G346" i="4"/>
  <c r="G347" i="4"/>
  <c r="G348" i="4"/>
  <c r="G354" i="4"/>
  <c r="G355" i="4"/>
  <c r="G356" i="4"/>
  <c r="G357" i="4"/>
  <c r="G358" i="4"/>
  <c r="G359" i="4"/>
  <c r="G360" i="4"/>
  <c r="G361" i="4"/>
  <c r="G368" i="4"/>
  <c r="G369" i="4"/>
  <c r="G376" i="4"/>
  <c r="G377" i="4"/>
  <c r="G379" i="4"/>
  <c r="G380" i="4"/>
  <c r="G381" i="4"/>
  <c r="G400" i="4"/>
  <c r="G401" i="4"/>
  <c r="G402" i="4"/>
  <c r="G408" i="4"/>
  <c r="G411" i="4"/>
  <c r="G412" i="4"/>
  <c r="G415" i="4"/>
  <c r="G417" i="4"/>
  <c r="G421" i="4"/>
  <c r="G424" i="4"/>
  <c r="G429" i="4"/>
  <c r="G430" i="4"/>
  <c r="G434" i="4"/>
  <c r="G439" i="4"/>
  <c r="G440" i="4"/>
  <c r="G445" i="4"/>
  <c r="G450" i="4"/>
  <c r="G451" i="4"/>
  <c r="G455" i="4"/>
  <c r="G460" i="4"/>
  <c r="G466" i="4"/>
  <c r="G468" i="4"/>
  <c r="G469" i="4"/>
  <c r="G470" i="4"/>
  <c r="G471" i="4"/>
  <c r="G472" i="4"/>
  <c r="G473" i="4"/>
  <c r="G474" i="4"/>
  <c r="G475" i="4"/>
  <c r="G481" i="4"/>
  <c r="G482" i="4"/>
  <c r="G484" i="4"/>
  <c r="G486" i="4"/>
  <c r="G491" i="4"/>
  <c r="G492" i="4"/>
  <c r="G494" i="4"/>
  <c r="G495" i="4"/>
  <c r="G498" i="4"/>
  <c r="G499" i="4"/>
  <c r="G500" i="4"/>
  <c r="G502" i="4"/>
  <c r="G504" i="4"/>
  <c r="G505" i="4"/>
  <c r="G506" i="4"/>
  <c r="G509" i="4"/>
  <c r="G510" i="4"/>
  <c r="G519" i="4"/>
  <c r="G530" i="4"/>
  <c r="G103" i="4"/>
  <c r="G198" i="4"/>
  <c r="I540" i="4"/>
  <c r="I548" i="4"/>
  <c r="G548" i="4" s="1"/>
  <c r="G24" i="6"/>
  <c r="F24" i="6"/>
  <c r="F22" i="6"/>
  <c r="I22" i="6" s="1"/>
  <c r="G21" i="6"/>
  <c r="F21" i="6"/>
  <c r="G20" i="6"/>
  <c r="F20" i="6"/>
  <c r="F19" i="6"/>
  <c r="F18" i="6"/>
  <c r="B11" i="6" s="1"/>
  <c r="H23" i="4"/>
  <c r="H24" i="4"/>
  <c r="H25" i="4"/>
  <c r="H26" i="4"/>
  <c r="H27" i="4"/>
  <c r="H28" i="4"/>
  <c r="H29" i="4"/>
  <c r="H30" i="4"/>
  <c r="H31" i="4"/>
  <c r="H32" i="4"/>
  <c r="H33" i="4"/>
  <c r="H36" i="4"/>
  <c r="H37" i="4"/>
  <c r="H38" i="4"/>
  <c r="H39" i="4"/>
  <c r="H40" i="4"/>
  <c r="H41" i="4"/>
  <c r="H42" i="4"/>
  <c r="H46" i="4"/>
  <c r="H47" i="4"/>
  <c r="H48" i="4"/>
  <c r="H49" i="4"/>
  <c r="H50" i="4"/>
  <c r="H51" i="4"/>
  <c r="H52" i="4"/>
  <c r="H53" i="4"/>
  <c r="H54" i="4"/>
  <c r="H55" i="4"/>
  <c r="H56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9" i="4"/>
  <c r="H80" i="4"/>
  <c r="H81" i="4"/>
  <c r="H82" i="4"/>
  <c r="H83" i="4"/>
  <c r="H84" i="4"/>
  <c r="H85" i="4"/>
  <c r="H86" i="4"/>
  <c r="H87" i="4"/>
  <c r="H88" i="4"/>
  <c r="H89" i="4"/>
  <c r="H92" i="4"/>
  <c r="H93" i="4"/>
  <c r="H94" i="4"/>
  <c r="H95" i="4"/>
  <c r="H96" i="4"/>
  <c r="H97" i="4"/>
  <c r="H98" i="4"/>
  <c r="H99" i="4"/>
  <c r="H100" i="4"/>
  <c r="H103" i="4"/>
  <c r="H104" i="4"/>
  <c r="H105" i="4"/>
  <c r="H106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1" i="4"/>
  <c r="H152" i="4"/>
  <c r="H153" i="4"/>
  <c r="H157" i="4"/>
  <c r="H158" i="4"/>
  <c r="H159" i="4"/>
  <c r="H160" i="4"/>
  <c r="H161" i="4"/>
  <c r="H162" i="4"/>
  <c r="H163" i="4"/>
  <c r="H164" i="4"/>
  <c r="H165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91" i="4"/>
  <c r="H192" i="4"/>
  <c r="H193" i="4"/>
  <c r="H194" i="4"/>
  <c r="H197" i="4"/>
  <c r="H198" i="4"/>
  <c r="H199" i="4"/>
  <c r="H200" i="4"/>
  <c r="H202" i="4"/>
  <c r="H203" i="4"/>
  <c r="H204" i="4"/>
  <c r="H205" i="4"/>
  <c r="H207" i="4"/>
  <c r="H209" i="4"/>
  <c r="H210" i="4"/>
  <c r="H213" i="4"/>
  <c r="H214" i="4"/>
  <c r="H215" i="4"/>
  <c r="H216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3" i="4"/>
  <c r="H234" i="4"/>
  <c r="H235" i="4"/>
  <c r="H236" i="4"/>
  <c r="H237" i="4"/>
  <c r="H238" i="4"/>
  <c r="H239" i="4"/>
  <c r="H240" i="4"/>
  <c r="H241" i="4"/>
  <c r="H242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06" i="4"/>
  <c r="H307" i="4"/>
  <c r="H308" i="4"/>
  <c r="H309" i="4"/>
  <c r="H310" i="4"/>
  <c r="H311" i="4"/>
  <c r="H312" i="4"/>
  <c r="H313" i="4"/>
  <c r="H316" i="4"/>
  <c r="H318" i="4"/>
  <c r="H319" i="4"/>
  <c r="H320" i="4"/>
  <c r="H321" i="4"/>
  <c r="H322" i="4"/>
  <c r="H323" i="4"/>
  <c r="H324" i="4"/>
  <c r="H325" i="4"/>
  <c r="H326" i="4"/>
  <c r="H327" i="4"/>
  <c r="H328" i="4"/>
  <c r="H329" i="4"/>
  <c r="H330" i="4"/>
  <c r="H333" i="4"/>
  <c r="H334" i="4"/>
  <c r="H335" i="4"/>
  <c r="H336" i="4"/>
  <c r="H337" i="4"/>
  <c r="H338" i="4"/>
  <c r="H339" i="4"/>
  <c r="H340" i="4"/>
  <c r="H341" i="4"/>
  <c r="H342" i="4"/>
  <c r="H343" i="4"/>
  <c r="H344" i="4"/>
  <c r="H345" i="4"/>
  <c r="H346" i="4"/>
  <c r="H347" i="4"/>
  <c r="H348" i="4"/>
  <c r="H349" i="4"/>
  <c r="H350" i="4"/>
  <c r="H352" i="4"/>
  <c r="H353" i="4"/>
  <c r="H367" i="4"/>
  <c r="H368" i="4"/>
  <c r="H369" i="4"/>
  <c r="H370" i="4"/>
  <c r="H371" i="4"/>
  <c r="H372" i="4"/>
  <c r="H375" i="4"/>
  <c r="H376" i="4"/>
  <c r="H377" i="4"/>
  <c r="H378" i="4"/>
  <c r="H379" i="4"/>
  <c r="H380" i="4"/>
  <c r="H381" i="4"/>
  <c r="H384" i="4"/>
  <c r="H385" i="4"/>
  <c r="H386" i="4"/>
  <c r="H387" i="4"/>
  <c r="H389" i="4"/>
  <c r="H390" i="4"/>
  <c r="H391" i="4"/>
  <c r="H392" i="4"/>
  <c r="H393" i="4"/>
  <c r="H394" i="4"/>
  <c r="H395" i="4"/>
  <c r="H396" i="4"/>
  <c r="H399" i="4"/>
  <c r="H400" i="4"/>
  <c r="H401" i="4"/>
  <c r="H402" i="4"/>
  <c r="H403" i="4"/>
  <c r="H404" i="4"/>
  <c r="H405" i="4"/>
  <c r="H406" i="4"/>
  <c r="H407" i="4"/>
  <c r="H408" i="4"/>
  <c r="H409" i="4"/>
  <c r="H410" i="4"/>
  <c r="H411" i="4"/>
  <c r="H412" i="4"/>
  <c r="H413" i="4"/>
  <c r="H414" i="4"/>
  <c r="H415" i="4"/>
  <c r="H416" i="4"/>
  <c r="H417" i="4"/>
  <c r="H418" i="4"/>
  <c r="H419" i="4"/>
  <c r="H420" i="4"/>
  <c r="H421" i="4"/>
  <c r="H422" i="4"/>
  <c r="H423" i="4"/>
  <c r="H424" i="4"/>
  <c r="H425" i="4"/>
  <c r="H426" i="4"/>
  <c r="H427" i="4"/>
  <c r="H428" i="4"/>
  <c r="H429" i="4"/>
  <c r="H430" i="4"/>
  <c r="H431" i="4"/>
  <c r="H432" i="4"/>
  <c r="H433" i="4"/>
  <c r="H434" i="4"/>
  <c r="H435" i="4"/>
  <c r="H438" i="4"/>
  <c r="H439" i="4"/>
  <c r="H440" i="4"/>
  <c r="H441" i="4"/>
  <c r="H444" i="4"/>
  <c r="H445" i="4"/>
  <c r="H446" i="4"/>
  <c r="H450" i="4"/>
  <c r="H451" i="4"/>
  <c r="H452" i="4"/>
  <c r="H453" i="4"/>
  <c r="H454" i="4"/>
  <c r="H455" i="4"/>
  <c r="H456" i="4"/>
  <c r="H457" i="4"/>
  <c r="H460" i="4"/>
  <c r="H461" i="4"/>
  <c r="H462" i="4"/>
  <c r="H466" i="4"/>
  <c r="H467" i="4"/>
  <c r="H468" i="4"/>
  <c r="H469" i="4"/>
  <c r="H470" i="4"/>
  <c r="H471" i="4"/>
  <c r="H472" i="4"/>
  <c r="H473" i="4"/>
  <c r="H474" i="4"/>
  <c r="H475" i="4"/>
  <c r="H476" i="4"/>
  <c r="H477" i="4"/>
  <c r="H481" i="4"/>
  <c r="H482" i="4"/>
  <c r="H483" i="4"/>
  <c r="H484" i="4"/>
  <c r="H485" i="4"/>
  <c r="H486" i="4"/>
  <c r="H487" i="4"/>
  <c r="H491" i="4"/>
  <c r="H492" i="4"/>
  <c r="H493" i="4"/>
  <c r="H494" i="4"/>
  <c r="H495" i="4"/>
  <c r="H496" i="4"/>
  <c r="H497" i="4"/>
  <c r="H498" i="4"/>
  <c r="H499" i="4"/>
  <c r="H500" i="4"/>
  <c r="H501" i="4"/>
  <c r="H502" i="4"/>
  <c r="H503" i="4"/>
  <c r="H504" i="4"/>
  <c r="H505" i="4"/>
  <c r="H506" i="4"/>
  <c r="H507" i="4"/>
  <c r="H508" i="4"/>
  <c r="H509" i="4"/>
  <c r="H510" i="4"/>
  <c r="H511" i="4"/>
  <c r="H515" i="4"/>
  <c r="H516" i="4"/>
  <c r="H517" i="4"/>
  <c r="H518" i="4"/>
  <c r="H519" i="4"/>
  <c r="H520" i="4"/>
  <c r="H521" i="4"/>
  <c r="H522" i="4"/>
  <c r="H523" i="4"/>
  <c r="H524" i="4"/>
  <c r="H527" i="4"/>
  <c r="H528" i="4"/>
  <c r="H529" i="4"/>
  <c r="H530" i="4"/>
  <c r="H531" i="4"/>
  <c r="H532" i="4"/>
  <c r="H535" i="4"/>
  <c r="H536" i="4"/>
  <c r="H537" i="4"/>
  <c r="H538" i="4"/>
  <c r="H539" i="4"/>
  <c r="H540" i="4"/>
  <c r="H543" i="4"/>
  <c r="H544" i="4"/>
  <c r="H545" i="4"/>
  <c r="H546" i="4"/>
  <c r="H547" i="4"/>
  <c r="H11" i="4"/>
  <c r="H12" i="4"/>
  <c r="H13" i="4"/>
  <c r="H15" i="4"/>
  <c r="H19" i="4"/>
  <c r="H22" i="4"/>
  <c r="F7" i="6"/>
  <c r="F11" i="6"/>
  <c r="I20" i="6" l="1"/>
  <c r="I24" i="6"/>
  <c r="G17" i="6"/>
  <c r="G540" i="4"/>
  <c r="I552" i="4"/>
  <c r="G18" i="6"/>
  <c r="H195" i="4"/>
  <c r="G165" i="4"/>
  <c r="G208" i="4"/>
  <c r="H208" i="4"/>
  <c r="I21" i="6"/>
  <c r="H154" i="4"/>
  <c r="C10" i="11"/>
  <c r="G149" i="4"/>
  <c r="H373" i="4"/>
  <c r="G217" i="4"/>
  <c r="D13" i="11"/>
  <c r="C7" i="11"/>
  <c r="C13" i="11"/>
  <c r="E13" i="11" s="1"/>
  <c r="H211" i="4"/>
  <c r="D6" i="11"/>
  <c r="H512" i="4"/>
  <c r="G189" i="4"/>
  <c r="D9" i="11"/>
  <c r="E11" i="11"/>
  <c r="F11" i="11"/>
  <c r="H388" i="4"/>
  <c r="D7" i="11"/>
  <c r="H382" i="4"/>
  <c r="H265" i="4"/>
  <c r="H463" i="4"/>
  <c r="H548" i="4"/>
  <c r="C12" i="11"/>
  <c r="C9" i="11"/>
  <c r="C8" i="11"/>
  <c r="F8" i="11" s="1"/>
  <c r="D10" i="11"/>
  <c r="G121" i="4"/>
  <c r="C6" i="11"/>
  <c r="H436" i="4"/>
  <c r="F552" i="4"/>
  <c r="F10" i="11" l="1"/>
  <c r="G28" i="6"/>
  <c r="C11" i="6"/>
  <c r="C43" i="6" s="1"/>
  <c r="G552" i="4"/>
  <c r="E7" i="11"/>
  <c r="F13" i="11"/>
  <c r="C14" i="11"/>
  <c r="F12" i="11"/>
  <c r="E12" i="11"/>
  <c r="G397" i="4"/>
  <c r="E9" i="11"/>
  <c r="F9" i="11"/>
  <c r="E8" i="11"/>
  <c r="F7" i="11"/>
  <c r="E10" i="11"/>
  <c r="D14" i="11"/>
  <c r="H397" i="4"/>
  <c r="E6" i="11"/>
  <c r="F6" i="11"/>
  <c r="D21" i="6"/>
  <c r="G12" i="6"/>
  <c r="G29" i="6" s="1"/>
  <c r="F12" i="6"/>
  <c r="D12" i="6"/>
  <c r="F14" i="11" l="1"/>
  <c r="E14" i="11"/>
  <c r="C35" i="6" l="1"/>
  <c r="C34" i="6"/>
  <c r="E120" i="8" l="1"/>
  <c r="E84" i="8"/>
  <c r="D458" i="8" l="1"/>
  <c r="D457" i="8"/>
  <c r="D459" i="8"/>
  <c r="D456" i="8"/>
  <c r="E459" i="8"/>
  <c r="E456" i="8"/>
  <c r="D455" i="8"/>
  <c r="B64" i="8"/>
  <c r="B63" i="8"/>
  <c r="B100" i="8"/>
  <c r="B110" i="8"/>
  <c r="B433" i="8"/>
  <c r="B434" i="8"/>
  <c r="B445" i="8"/>
  <c r="B459" i="8"/>
  <c r="B454" i="8"/>
  <c r="B453" i="8"/>
  <c r="E443" i="8"/>
  <c r="D443" i="8" s="1"/>
  <c r="E442" i="8"/>
  <c r="E441" i="8"/>
  <c r="B442" i="8"/>
  <c r="B441" i="8"/>
  <c r="A444" i="8"/>
  <c r="A445" i="8"/>
  <c r="D431" i="8"/>
  <c r="E432" i="8"/>
  <c r="E431" i="8"/>
  <c r="E430" i="8"/>
  <c r="B432" i="8"/>
  <c r="B431" i="8"/>
  <c r="B430" i="8"/>
  <c r="B424" i="8"/>
  <c r="B417" i="8"/>
  <c r="B410" i="8"/>
  <c r="D401" i="8"/>
  <c r="B394" i="8"/>
  <c r="B393" i="8"/>
  <c r="E386" i="8"/>
  <c r="B384" i="8"/>
  <c r="B386" i="8"/>
  <c r="B385" i="8"/>
  <c r="B383" i="8"/>
  <c r="B382" i="8"/>
  <c r="B365" i="8"/>
  <c r="B335" i="8"/>
  <c r="B318" i="8"/>
  <c r="B317" i="8"/>
  <c r="B309" i="8"/>
  <c r="B302" i="8"/>
  <c r="B301" i="8"/>
  <c r="B275" i="8"/>
  <c r="B268" i="8"/>
  <c r="B267" i="8"/>
  <c r="B266" i="8"/>
  <c r="B265" i="8"/>
  <c r="B250" i="8"/>
  <c r="B249" i="8"/>
  <c r="B242" i="8"/>
  <c r="B241" i="8"/>
  <c r="E222" i="8"/>
  <c r="B222" i="8"/>
  <c r="B221" i="8"/>
  <c r="B220" i="8"/>
  <c r="B213" i="8"/>
  <c r="B212" i="8"/>
  <c r="B211" i="8"/>
  <c r="B204" i="8"/>
  <c r="B203" i="8"/>
  <c r="D194" i="8"/>
  <c r="B195" i="8"/>
  <c r="B194" i="8"/>
  <c r="B193" i="8"/>
  <c r="D185" i="8"/>
  <c r="B184" i="8"/>
  <c r="D176" i="8"/>
  <c r="B177" i="8"/>
  <c r="B176" i="8"/>
  <c r="B169" i="8"/>
  <c r="B168" i="8"/>
  <c r="B150" i="8"/>
  <c r="D119" i="8"/>
  <c r="D118" i="8"/>
  <c r="B119" i="8"/>
  <c r="B118" i="8"/>
  <c r="B120" i="8"/>
  <c r="E100" i="8"/>
  <c r="E101" i="8"/>
  <c r="B101" i="8"/>
  <c r="B92" i="8"/>
  <c r="D73" i="8"/>
  <c r="D84" i="8"/>
  <c r="B84" i="8"/>
  <c r="B85" i="8"/>
  <c r="B83" i="8"/>
  <c r="B82" i="8"/>
  <c r="E74" i="8"/>
  <c r="E73" i="8"/>
  <c r="B74" i="8"/>
  <c r="B73" i="8"/>
  <c r="B72" i="8"/>
  <c r="D64" i="8"/>
  <c r="D62" i="8"/>
  <c r="B62" i="8"/>
  <c r="E54" i="8"/>
  <c r="E53" i="8"/>
  <c r="D54" i="8"/>
  <c r="B54" i="8"/>
  <c r="D53" i="8"/>
  <c r="B53" i="8"/>
  <c r="D38" i="8"/>
  <c r="D37" i="8"/>
  <c r="B387" i="8" l="1"/>
  <c r="B435" i="8"/>
  <c r="B38" i="8"/>
  <c r="B36" i="8"/>
  <c r="B29" i="8"/>
  <c r="B28" i="8"/>
  <c r="B11" i="8"/>
  <c r="F9" i="12"/>
  <c r="E9" i="12"/>
  <c r="B109" i="8" l="1"/>
  <c r="B108" i="8"/>
  <c r="E108" i="8"/>
  <c r="C108" i="8"/>
  <c r="E37" i="6" l="1"/>
  <c r="C45" i="6" l="1"/>
  <c r="C46" i="6"/>
  <c r="F23" i="6" l="1"/>
  <c r="C52" i="6" l="1"/>
  <c r="E24" i="4" l="1"/>
  <c r="E121" i="4"/>
  <c r="B37" i="8" l="1"/>
  <c r="E33" i="4"/>
  <c r="C47" i="6"/>
  <c r="C48" i="6" s="1"/>
  <c r="E543" i="4"/>
  <c r="E540" i="4"/>
  <c r="E365" i="4"/>
  <c r="G365" i="4" s="1"/>
  <c r="G543" i="4" l="1"/>
  <c r="B444" i="8"/>
  <c r="E547" i="4"/>
  <c r="B443" i="8" s="1"/>
  <c r="E548" i="4"/>
  <c r="E532" i="4"/>
  <c r="E524" i="4"/>
  <c r="G524" i="4" s="1"/>
  <c r="E508" i="4"/>
  <c r="E488" i="4"/>
  <c r="G488" i="4" s="1"/>
  <c r="E478" i="4"/>
  <c r="G478" i="4" s="1"/>
  <c r="E463" i="4"/>
  <c r="G463" i="4" s="1"/>
  <c r="E457" i="4"/>
  <c r="G457" i="4" s="1"/>
  <c r="E447" i="4"/>
  <c r="G447" i="4" s="1"/>
  <c r="E442" i="4"/>
  <c r="G442" i="4" s="1"/>
  <c r="E436" i="4"/>
  <c r="G436" i="4" s="1"/>
  <c r="E394" i="4"/>
  <c r="B458" i="8" s="1"/>
  <c r="E393" i="4"/>
  <c r="B457" i="8" s="1"/>
  <c r="E392" i="4"/>
  <c r="B456" i="8" s="1"/>
  <c r="E389" i="4"/>
  <c r="E388" i="4"/>
  <c r="B455" i="8" s="1"/>
  <c r="E385" i="4"/>
  <c r="E382" i="4"/>
  <c r="G382" i="4" s="1"/>
  <c r="E373" i="4"/>
  <c r="G373" i="4" s="1"/>
  <c r="E351" i="4"/>
  <c r="G351" i="4" s="1"/>
  <c r="E331" i="4"/>
  <c r="G331" i="4" s="1"/>
  <c r="E293" i="4"/>
  <c r="E289" i="4"/>
  <c r="G289" i="4" s="1"/>
  <c r="E236" i="4"/>
  <c r="E214" i="4"/>
  <c r="E208" i="4"/>
  <c r="E205" i="4"/>
  <c r="E200" i="4"/>
  <c r="E195" i="4"/>
  <c r="E189" i="4"/>
  <c r="E165" i="4"/>
  <c r="E154" i="4"/>
  <c r="E149" i="4"/>
  <c r="E136" i="4"/>
  <c r="E106" i="4"/>
  <c r="E100" i="4"/>
  <c r="E89" i="4"/>
  <c r="E76" i="4"/>
  <c r="E56" i="4"/>
  <c r="E42" i="4"/>
  <c r="E19" i="4"/>
  <c r="E13" i="4"/>
  <c r="D64" i="6"/>
  <c r="D65" i="6"/>
  <c r="D66" i="6"/>
  <c r="D67" i="6"/>
  <c r="D68" i="6"/>
  <c r="D63" i="6"/>
  <c r="E69" i="6"/>
  <c r="C69" i="6"/>
  <c r="D8" i="6"/>
  <c r="D10" i="6"/>
  <c r="D13" i="6"/>
  <c r="D14" i="6"/>
  <c r="D15" i="6"/>
  <c r="D16" i="6"/>
  <c r="D17" i="6"/>
  <c r="D18" i="6"/>
  <c r="D19" i="6"/>
  <c r="D20" i="6"/>
  <c r="D23" i="6"/>
  <c r="D24" i="6"/>
  <c r="D26" i="6"/>
  <c r="D29" i="6"/>
  <c r="D30" i="6"/>
  <c r="D31" i="6"/>
  <c r="D32" i="6"/>
  <c r="D69" i="6" l="1"/>
  <c r="E397" i="4"/>
  <c r="B452" i="8"/>
  <c r="E265" i="4"/>
  <c r="B185" i="8"/>
  <c r="E512" i="4"/>
  <c r="G512" i="4" s="1"/>
  <c r="G508" i="4"/>
  <c r="B336" i="8"/>
  <c r="E217" i="4"/>
  <c r="B409" i="8"/>
  <c r="E211" i="4"/>
  <c r="B401" i="8"/>
  <c r="E314" i="4"/>
  <c r="G314" i="4" s="1"/>
  <c r="G293" i="4"/>
  <c r="B202" i="8"/>
  <c r="B358" i="8"/>
  <c r="G532" i="4"/>
  <c r="F25" i="6"/>
  <c r="B7" i="6"/>
  <c r="B9" i="6" l="1"/>
  <c r="D5" i="6" s="1"/>
  <c r="E552" i="4"/>
  <c r="C8" i="12"/>
  <c r="C7" i="12"/>
  <c r="C6" i="12"/>
  <c r="C5" i="12"/>
  <c r="C4" i="12"/>
  <c r="B4" i="12"/>
  <c r="B8" i="12"/>
  <c r="B7" i="12"/>
  <c r="D25" i="6"/>
  <c r="B36" i="6" l="1"/>
  <c r="C7" i="6"/>
  <c r="B6" i="12"/>
  <c r="D7" i="6" l="1"/>
  <c r="C9" i="6"/>
  <c r="C36" i="6" s="1"/>
  <c r="D11" i="6"/>
  <c r="I5" i="6" s="1"/>
  <c r="G35" i="6"/>
  <c r="C3" i="12"/>
  <c r="D27" i="6"/>
  <c r="D28" i="6"/>
  <c r="D2" i="6" l="1"/>
  <c r="G27" i="6"/>
  <c r="G30" i="6" s="1"/>
  <c r="J11" i="6"/>
  <c r="D22" i="6"/>
  <c r="B5" i="12"/>
  <c r="D9" i="6" l="1"/>
  <c r="G34" i="6"/>
  <c r="B3" i="12"/>
  <c r="G36" i="6" l="1"/>
  <c r="G37" i="6"/>
  <c r="C39" i="6" l="1"/>
  <c r="C41" i="6" s="1"/>
  <c r="I19" i="6"/>
  <c r="H12" i="6" l="1"/>
  <c r="F29" i="6" l="1"/>
  <c r="E454" i="8" l="1"/>
  <c r="E384" i="8" l="1"/>
  <c r="D384" i="8"/>
  <c r="E195" i="8"/>
  <c r="C109" i="8" l="1"/>
  <c r="D85" i="8"/>
  <c r="D453" i="8"/>
  <c r="C452" i="8"/>
  <c r="C453" i="8"/>
  <c r="C455" i="8"/>
  <c r="C456" i="8"/>
  <c r="C457" i="8"/>
  <c r="C458" i="8"/>
  <c r="C459" i="8"/>
  <c r="C441" i="8"/>
  <c r="C442" i="8"/>
  <c r="C443" i="8"/>
  <c r="C444" i="8"/>
  <c r="C445" i="8"/>
  <c r="C430" i="8"/>
  <c r="C431" i="8"/>
  <c r="C432" i="8"/>
  <c r="C433" i="8"/>
  <c r="C434" i="8"/>
  <c r="C424" i="8"/>
  <c r="C410" i="8"/>
  <c r="D402" i="8"/>
  <c r="D385" i="8"/>
  <c r="C385" i="8"/>
  <c r="D382" i="8"/>
  <c r="D365" i="8"/>
  <c r="C401" i="8"/>
  <c r="C402" i="8"/>
  <c r="C393" i="8"/>
  <c r="C394" i="8"/>
  <c r="C382" i="8"/>
  <c r="C383" i="8"/>
  <c r="C384" i="8"/>
  <c r="C365" i="8"/>
  <c r="D358" i="8"/>
  <c r="D337" i="8"/>
  <c r="D328" i="8"/>
  <c r="D327" i="8"/>
  <c r="D326" i="8"/>
  <c r="C358" i="8"/>
  <c r="C335" i="8"/>
  <c r="C336" i="8"/>
  <c r="C337" i="8"/>
  <c r="C326" i="8"/>
  <c r="C327" i="8"/>
  <c r="C328" i="8"/>
  <c r="D319" i="8"/>
  <c r="D318" i="8"/>
  <c r="D310" i="8"/>
  <c r="D309" i="8"/>
  <c r="D302" i="8"/>
  <c r="D301" i="8"/>
  <c r="D282" i="8"/>
  <c r="C317" i="8"/>
  <c r="C318" i="8"/>
  <c r="C319" i="8"/>
  <c r="C309" i="8"/>
  <c r="C310" i="8"/>
  <c r="C301" i="8"/>
  <c r="C302" i="8"/>
  <c r="C282" i="8"/>
  <c r="D275" i="8"/>
  <c r="D268" i="8"/>
  <c r="C275" i="8"/>
  <c r="C265" i="8"/>
  <c r="C266" i="8"/>
  <c r="C267" i="8"/>
  <c r="C268" i="8"/>
  <c r="C249" i="8"/>
  <c r="C250" i="8"/>
  <c r="D213" i="8"/>
  <c r="C241" i="8"/>
  <c r="C242" i="8"/>
  <c r="C220" i="8"/>
  <c r="C221" i="8"/>
  <c r="C222" i="8"/>
  <c r="C211" i="8"/>
  <c r="C212" i="8"/>
  <c r="C213" i="8"/>
  <c r="C202" i="8"/>
  <c r="C203" i="8"/>
  <c r="C204" i="8"/>
  <c r="C193" i="8"/>
  <c r="C194" i="8"/>
  <c r="C195" i="8"/>
  <c r="C184" i="8"/>
  <c r="C185" i="8"/>
  <c r="C186" i="8"/>
  <c r="D150" i="8"/>
  <c r="C176" i="8"/>
  <c r="C177" i="8"/>
  <c r="C168" i="8"/>
  <c r="C169" i="8"/>
  <c r="C150" i="8"/>
  <c r="C118" i="8"/>
  <c r="C119" i="8"/>
  <c r="C120" i="8"/>
  <c r="D111" i="8"/>
  <c r="D99" i="8"/>
  <c r="D92" i="8"/>
  <c r="C111" i="8"/>
  <c r="C99" i="8"/>
  <c r="C100" i="8"/>
  <c r="C101" i="8"/>
  <c r="C92" i="8"/>
  <c r="D75" i="8"/>
  <c r="D65" i="8"/>
  <c r="C82" i="8"/>
  <c r="C83" i="8"/>
  <c r="C84" i="8"/>
  <c r="C72" i="8"/>
  <c r="C73" i="8"/>
  <c r="C74" i="8"/>
  <c r="C75" i="8"/>
  <c r="C62" i="8"/>
  <c r="C63" i="8"/>
  <c r="C64" i="8"/>
  <c r="C65" i="8"/>
  <c r="D44" i="8"/>
  <c r="C53" i="8"/>
  <c r="C54" i="8"/>
  <c r="C55" i="8"/>
  <c r="C44" i="8"/>
  <c r="C38" i="8"/>
  <c r="D36" i="8"/>
  <c r="D29" i="8"/>
  <c r="D28" i="8"/>
  <c r="D11" i="8"/>
  <c r="B402" i="8"/>
  <c r="B337" i="8"/>
  <c r="B328" i="8"/>
  <c r="B327" i="8"/>
  <c r="B326" i="8"/>
  <c r="B319" i="8"/>
  <c r="B310" i="8"/>
  <c r="B282" i="8"/>
  <c r="B186" i="8"/>
  <c r="B151" i="8"/>
  <c r="B99" i="8"/>
  <c r="B75" i="8"/>
  <c r="B65" i="8"/>
  <c r="B55" i="8"/>
  <c r="B44" i="8"/>
  <c r="B45" i="8" s="1"/>
  <c r="D387" i="8" l="1"/>
  <c r="C110" i="8"/>
  <c r="C85" i="8"/>
  <c r="C417" i="8"/>
  <c r="B196" i="8"/>
  <c r="B243" i="8"/>
  <c r="E241" i="8" l="1"/>
  <c r="E185" i="8"/>
  <c r="E385" i="8"/>
  <c r="D283" i="8"/>
  <c r="I18" i="6" l="1"/>
  <c r="E336" i="8"/>
  <c r="E64" i="8"/>
  <c r="E63" i="8"/>
  <c r="E11" i="8"/>
  <c r="E12" i="8" s="1"/>
  <c r="E21" i="8"/>
  <c r="E22" i="8" s="1"/>
  <c r="E28" i="8"/>
  <c r="E29" i="8"/>
  <c r="E36" i="8"/>
  <c r="E37" i="8"/>
  <c r="E38" i="8"/>
  <c r="E44" i="8"/>
  <c r="E45" i="8" s="1"/>
  <c r="E62" i="8"/>
  <c r="E65" i="8"/>
  <c r="E72" i="8"/>
  <c r="E75" i="8"/>
  <c r="E82" i="8"/>
  <c r="E83" i="8"/>
  <c r="E85" i="8"/>
  <c r="E92" i="8"/>
  <c r="E93" i="8" s="1"/>
  <c r="E99" i="8"/>
  <c r="E109" i="8"/>
  <c r="E110" i="8"/>
  <c r="E111" i="8"/>
  <c r="E118" i="8"/>
  <c r="E119" i="8"/>
  <c r="E126" i="8"/>
  <c r="E130" i="8"/>
  <c r="E133" i="8" s="1"/>
  <c r="E131" i="8"/>
  <c r="E132" i="8"/>
  <c r="E138" i="8"/>
  <c r="E142" i="8"/>
  <c r="E144" i="8" s="1"/>
  <c r="E143" i="8"/>
  <c r="E150" i="8"/>
  <c r="E151" i="8" s="1"/>
  <c r="E156" i="8"/>
  <c r="E160" i="8"/>
  <c r="E162" i="8" s="1"/>
  <c r="E161" i="8"/>
  <c r="E168" i="8"/>
  <c r="E169" i="8"/>
  <c r="E176" i="8"/>
  <c r="E177" i="8"/>
  <c r="E184" i="8"/>
  <c r="E186" i="8"/>
  <c r="E193" i="8"/>
  <c r="E194" i="8"/>
  <c r="E202" i="8"/>
  <c r="E203" i="8"/>
  <c r="E204" i="8"/>
  <c r="E211" i="8"/>
  <c r="E212" i="8"/>
  <c r="E213" i="8"/>
  <c r="E220" i="8"/>
  <c r="E221" i="8"/>
  <c r="E228" i="8"/>
  <c r="E232" i="8"/>
  <c r="E235" i="8" s="1"/>
  <c r="E233" i="8"/>
  <c r="E234" i="8"/>
  <c r="E242" i="8"/>
  <c r="E249" i="8"/>
  <c r="E250" i="8"/>
  <c r="E257" i="8"/>
  <c r="E258" i="8" s="1"/>
  <c r="E265" i="8"/>
  <c r="E266" i="8"/>
  <c r="E267" i="8"/>
  <c r="E268" i="8"/>
  <c r="E275" i="8"/>
  <c r="E276" i="8" s="1"/>
  <c r="E282" i="8"/>
  <c r="E283" i="8" s="1"/>
  <c r="E288" i="8"/>
  <c r="E292" i="8"/>
  <c r="E294" i="8" s="1"/>
  <c r="E293" i="8"/>
  <c r="E301" i="8"/>
  <c r="E302" i="8"/>
  <c r="E309" i="8"/>
  <c r="E310" i="8"/>
  <c r="E317" i="8"/>
  <c r="E318" i="8"/>
  <c r="E319" i="8"/>
  <c r="E326" i="8"/>
  <c r="E327" i="8"/>
  <c r="E328" i="8"/>
  <c r="E335" i="8"/>
  <c r="E337" i="8"/>
  <c r="E343" i="8"/>
  <c r="E347" i="8"/>
  <c r="E348" i="8" s="1"/>
  <c r="E353" i="8"/>
  <c r="E357" i="8"/>
  <c r="E358" i="8"/>
  <c r="E359" i="8" s="1"/>
  <c r="E365" i="8"/>
  <c r="E366" i="8" s="1"/>
  <c r="E371" i="8"/>
  <c r="E375" i="8"/>
  <c r="E376" i="8" s="1"/>
  <c r="E382" i="8"/>
  <c r="E383" i="8"/>
  <c r="E393" i="8"/>
  <c r="E394" i="8"/>
  <c r="E401" i="8"/>
  <c r="E402" i="8"/>
  <c r="E409" i="8"/>
  <c r="E410" i="8"/>
  <c r="E417" i="8"/>
  <c r="E418" i="8" s="1"/>
  <c r="E424" i="8"/>
  <c r="E425" i="8" s="1"/>
  <c r="E433" i="8"/>
  <c r="D433" i="8" s="1"/>
  <c r="D435" i="8" s="1"/>
  <c r="E434" i="8"/>
  <c r="E444" i="8"/>
  <c r="D444" i="8" s="1"/>
  <c r="E445" i="8"/>
  <c r="E452" i="8"/>
  <c r="E453" i="8"/>
  <c r="E455" i="8"/>
  <c r="E457" i="8"/>
  <c r="E458" i="8"/>
  <c r="D170" i="8"/>
  <c r="E121" i="8" l="1"/>
  <c r="E387" i="8"/>
  <c r="E435" i="8"/>
  <c r="I17" i="6"/>
  <c r="E251" i="8"/>
  <c r="E311" i="8"/>
  <c r="E223" i="8"/>
  <c r="E320" i="8"/>
  <c r="E411" i="8"/>
  <c r="E303" i="8"/>
  <c r="H464" i="8"/>
  <c r="E403" i="8"/>
  <c r="E395" i="8"/>
  <c r="E446" i="8"/>
  <c r="E338" i="8"/>
  <c r="E329" i="8"/>
  <c r="E269" i="8"/>
  <c r="E460" i="8"/>
  <c r="G464" i="8" s="1"/>
  <c r="E243" i="8"/>
  <c r="E214" i="8"/>
  <c r="E205" i="8"/>
  <c r="E196" i="8"/>
  <c r="E187" i="8"/>
  <c r="E178" i="8"/>
  <c r="E170" i="8"/>
  <c r="E112" i="8"/>
  <c r="E102" i="8"/>
  <c r="E86" i="8"/>
  <c r="E76" i="8"/>
  <c r="E66" i="8"/>
  <c r="E56" i="8"/>
  <c r="E39" i="8"/>
  <c r="E30" i="8"/>
  <c r="G41" i="6" l="1"/>
  <c r="I25" i="6"/>
  <c r="F28" i="6"/>
  <c r="G424" i="8"/>
  <c r="G450" i="8"/>
  <c r="E463" i="8"/>
  <c r="G42" i="6" l="1"/>
  <c r="G43" i="6" s="1"/>
  <c r="G44" i="6"/>
  <c r="G467" i="8"/>
  <c r="C409" i="8" l="1"/>
  <c r="D418" i="8" l="1"/>
  <c r="D366" i="8"/>
  <c r="D320" i="8" l="1"/>
  <c r="D411" i="8"/>
  <c r="B418" i="8"/>
  <c r="B93" i="8"/>
  <c r="B66" i="8" l="1"/>
  <c r="B76" i="8"/>
  <c r="B102" i="8"/>
  <c r="B112" i="8"/>
  <c r="B395" i="8"/>
  <c r="B403" i="8"/>
  <c r="B411" i="8"/>
  <c r="B86" i="8"/>
  <c r="B460" i="8"/>
  <c r="B121" i="8"/>
  <c r="D56" i="8"/>
  <c r="B320" i="8" l="1"/>
  <c r="D359" i="8" l="1"/>
  <c r="B359" i="8"/>
  <c r="B357" i="8"/>
  <c r="H33" i="6" l="1"/>
  <c r="H31" i="6"/>
  <c r="H30" i="6"/>
  <c r="H29" i="6"/>
  <c r="H28" i="6"/>
  <c r="A402" i="8" l="1"/>
  <c r="A401" i="8"/>
  <c r="A410" i="8"/>
  <c r="A409" i="8"/>
  <c r="A417" i="8"/>
  <c r="B421" i="8"/>
  <c r="A424" i="8"/>
  <c r="B439" i="8"/>
  <c r="B428" i="8"/>
  <c r="B414" i="8"/>
  <c r="B406" i="8"/>
  <c r="B398" i="8"/>
  <c r="A394" i="8"/>
  <c r="A393" i="8"/>
  <c r="B390" i="8"/>
  <c r="B379" i="8"/>
  <c r="B362" i="8"/>
  <c r="B332" i="8"/>
  <c r="B323" i="8"/>
  <c r="B314" i="8"/>
  <c r="B306" i="8"/>
  <c r="B279" i="8"/>
  <c r="B298" i="8"/>
  <c r="B272" i="8"/>
  <c r="B262" i="8"/>
  <c r="B246" i="8"/>
  <c r="B238" i="8"/>
  <c r="B217" i="8"/>
  <c r="B208" i="8"/>
  <c r="B199" i="8"/>
  <c r="B190" i="8"/>
  <c r="B181" i="8"/>
  <c r="B173" i="8"/>
  <c r="B165" i="8"/>
  <c r="B147" i="8"/>
  <c r="B115" i="8"/>
  <c r="B105" i="8"/>
  <c r="B96" i="8"/>
  <c r="B89" i="8"/>
  <c r="B79" i="8"/>
  <c r="B69" i="8"/>
  <c r="B59" i="8"/>
  <c r="B50" i="8"/>
  <c r="B41" i="8"/>
  <c r="B33" i="8"/>
  <c r="B25" i="8"/>
  <c r="B8" i="8"/>
  <c r="A434" i="8" l="1"/>
  <c r="A433" i="8"/>
  <c r="B446" i="8" l="1"/>
  <c r="D446" i="8"/>
  <c r="D425" i="8" l="1"/>
  <c r="C425" i="8"/>
  <c r="B425" i="8"/>
  <c r="C422" i="8"/>
  <c r="C418" i="8"/>
  <c r="C415" i="8"/>
  <c r="C407" i="8"/>
  <c r="C399" i="8"/>
  <c r="C391" i="8"/>
  <c r="C440" i="8"/>
  <c r="C429" i="8"/>
  <c r="C380" i="8"/>
  <c r="D375" i="8"/>
  <c r="D376" i="8" s="1"/>
  <c r="C375" i="8"/>
  <c r="C376" i="8" s="1"/>
  <c r="B375" i="8"/>
  <c r="B376" i="8" s="1"/>
  <c r="A373" i="8"/>
  <c r="D371" i="8"/>
  <c r="C371" i="8"/>
  <c r="B371" i="8"/>
  <c r="B369" i="8"/>
  <c r="A369" i="8"/>
  <c r="C366" i="8"/>
  <c r="B366" i="8"/>
  <c r="C363" i="8"/>
  <c r="D357" i="8"/>
  <c r="C357" i="8"/>
  <c r="C359" i="8" s="1"/>
  <c r="A355" i="8"/>
  <c r="D353" i="8"/>
  <c r="C353" i="8"/>
  <c r="B353" i="8"/>
  <c r="B351" i="8"/>
  <c r="A351" i="8"/>
  <c r="D347" i="8"/>
  <c r="D348" i="8" s="1"/>
  <c r="C347" i="8"/>
  <c r="C348" i="8" s="1"/>
  <c r="B347" i="8"/>
  <c r="B348" i="8" s="1"/>
  <c r="A345" i="8"/>
  <c r="D343" i="8"/>
  <c r="C343" i="8"/>
  <c r="B343" i="8"/>
  <c r="B341" i="8"/>
  <c r="A341" i="8"/>
  <c r="B338" i="8"/>
  <c r="C333" i="8"/>
  <c r="C324" i="8"/>
  <c r="C315" i="8"/>
  <c r="B311" i="8"/>
  <c r="C307" i="8"/>
  <c r="C299" i="8"/>
  <c r="D293" i="8"/>
  <c r="C293" i="8"/>
  <c r="B293" i="8"/>
  <c r="D292" i="8"/>
  <c r="D294" i="8" s="1"/>
  <c r="C292" i="8"/>
  <c r="C294" i="8" s="1"/>
  <c r="B292" i="8"/>
  <c r="B294" i="8" s="1"/>
  <c r="A290" i="8"/>
  <c r="D288" i="8"/>
  <c r="C288" i="8"/>
  <c r="B288" i="8"/>
  <c r="B286" i="8"/>
  <c r="A286" i="8"/>
  <c r="C283" i="8"/>
  <c r="B283" i="8"/>
  <c r="C280" i="8"/>
  <c r="D276" i="8"/>
  <c r="C276" i="8"/>
  <c r="B276" i="8"/>
  <c r="C273" i="8"/>
  <c r="C263" i="8"/>
  <c r="C450" i="8"/>
  <c r="D257" i="8"/>
  <c r="D258" i="8" s="1"/>
  <c r="C257" i="8"/>
  <c r="C258" i="8" s="1"/>
  <c r="B257" i="8"/>
  <c r="B258" i="8" s="1"/>
  <c r="C255" i="8"/>
  <c r="A255" i="8"/>
  <c r="A254" i="8"/>
  <c r="C247" i="8"/>
  <c r="C239" i="8"/>
  <c r="D234" i="8"/>
  <c r="C234" i="8"/>
  <c r="B234" i="8"/>
  <c r="D233" i="8"/>
  <c r="C233" i="8"/>
  <c r="B233" i="8"/>
  <c r="D232" i="8"/>
  <c r="D235" i="8" s="1"/>
  <c r="C232" i="8"/>
  <c r="C235" i="8" s="1"/>
  <c r="B232" i="8"/>
  <c r="B235" i="8" s="1"/>
  <c r="A230" i="8"/>
  <c r="D228" i="8"/>
  <c r="C228" i="8"/>
  <c r="B228" i="8"/>
  <c r="B226" i="8"/>
  <c r="A226" i="8"/>
  <c r="C218" i="8"/>
  <c r="C209" i="8"/>
  <c r="B205" i="8"/>
  <c r="C200" i="8"/>
  <c r="C191" i="8"/>
  <c r="C182" i="8"/>
  <c r="C178" i="8"/>
  <c r="B178" i="8"/>
  <c r="C174" i="8"/>
  <c r="C166" i="8"/>
  <c r="D161" i="8"/>
  <c r="C161" i="8"/>
  <c r="B161" i="8"/>
  <c r="D160" i="8"/>
  <c r="D162" i="8" s="1"/>
  <c r="C160" i="8"/>
  <c r="C162" i="8" s="1"/>
  <c r="B160" i="8"/>
  <c r="B162" i="8" s="1"/>
  <c r="A158" i="8"/>
  <c r="D156" i="8"/>
  <c r="C156" i="8"/>
  <c r="B156" i="8"/>
  <c r="B154" i="8"/>
  <c r="A154" i="8"/>
  <c r="D151" i="8"/>
  <c r="C151" i="8"/>
  <c r="C148" i="8"/>
  <c r="D143" i="8"/>
  <c r="C143" i="8"/>
  <c r="B143" i="8"/>
  <c r="D142" i="8"/>
  <c r="D144" i="8" s="1"/>
  <c r="C142" i="8"/>
  <c r="C144" i="8" s="1"/>
  <c r="B142" i="8"/>
  <c r="B144" i="8" s="1"/>
  <c r="A140" i="8"/>
  <c r="D138" i="8"/>
  <c r="C138" i="8"/>
  <c r="B138" i="8"/>
  <c r="B136" i="8"/>
  <c r="A136" i="8"/>
  <c r="D132" i="8"/>
  <c r="C132" i="8"/>
  <c r="B132" i="8"/>
  <c r="D131" i="8"/>
  <c r="C131" i="8"/>
  <c r="B131" i="8"/>
  <c r="D130" i="8"/>
  <c r="D133" i="8" s="1"/>
  <c r="C130" i="8"/>
  <c r="C133" i="8" s="1"/>
  <c r="B130" i="8"/>
  <c r="B133" i="8" s="1"/>
  <c r="A128" i="8"/>
  <c r="D126" i="8"/>
  <c r="C126" i="8"/>
  <c r="B126" i="8"/>
  <c r="B124" i="8"/>
  <c r="A124" i="8"/>
  <c r="C116" i="8"/>
  <c r="C106" i="8"/>
  <c r="C97" i="8"/>
  <c r="D93" i="8"/>
  <c r="C93" i="8"/>
  <c r="C90" i="8"/>
  <c r="C80" i="8"/>
  <c r="C70" i="8"/>
  <c r="C60" i="8"/>
  <c r="C51" i="8"/>
  <c r="D45" i="8"/>
  <c r="C45" i="8"/>
  <c r="C42" i="8"/>
  <c r="C37" i="8"/>
  <c r="C36" i="8"/>
  <c r="C34" i="8"/>
  <c r="A30" i="8"/>
  <c r="C29" i="8"/>
  <c r="C28" i="8"/>
  <c r="C26" i="8"/>
  <c r="D21" i="8"/>
  <c r="D22" i="8" s="1"/>
  <c r="C21" i="8"/>
  <c r="C22" i="8" s="1"/>
  <c r="B21" i="8"/>
  <c r="B22" i="8" s="1"/>
  <c r="D19" i="8"/>
  <c r="C19" i="8"/>
  <c r="A19" i="8"/>
  <c r="C17" i="8"/>
  <c r="B17" i="8"/>
  <c r="B15" i="8"/>
  <c r="A15" i="8"/>
  <c r="D12" i="8"/>
  <c r="C11" i="8"/>
  <c r="C12" i="8" s="1"/>
  <c r="B12" i="8"/>
  <c r="C5" i="8"/>
  <c r="C3" i="8"/>
  <c r="D214" i="8" l="1"/>
  <c r="C303" i="8"/>
  <c r="C311" i="8"/>
  <c r="C39" i="8"/>
  <c r="C205" i="8"/>
  <c r="C387" i="8"/>
  <c r="D303" i="8"/>
  <c r="D329" i="8"/>
  <c r="D66" i="8"/>
  <c r="C76" i="8"/>
  <c r="C121" i="8"/>
  <c r="B223" i="8"/>
  <c r="C30" i="8"/>
  <c r="B187" i="8"/>
  <c r="B214" i="8"/>
  <c r="D251" i="8"/>
  <c r="D460" i="8"/>
  <c r="C269" i="8"/>
  <c r="B329" i="8"/>
  <c r="C56" i="8"/>
  <c r="D205" i="8"/>
  <c r="D311" i="8"/>
  <c r="C320" i="8"/>
  <c r="B170" i="8"/>
  <c r="C243" i="8"/>
  <c r="B251" i="8"/>
  <c r="B30" i="8"/>
  <c r="C170" i="8"/>
  <c r="D196" i="8"/>
  <c r="D223" i="8"/>
  <c r="D243" i="8"/>
  <c r="C251" i="8"/>
  <c r="C460" i="8"/>
  <c r="B269" i="8"/>
  <c r="D338" i="8"/>
  <c r="D30" i="8"/>
  <c r="B39" i="8"/>
  <c r="C66" i="8"/>
  <c r="D102" i="8"/>
  <c r="D178" i="8"/>
  <c r="C187" i="8"/>
  <c r="C214" i="8"/>
  <c r="D269" i="8"/>
  <c r="B303" i="8"/>
  <c r="C329" i="8"/>
  <c r="B56" i="8"/>
  <c r="C102" i="8"/>
  <c r="D121" i="8"/>
  <c r="D76" i="8"/>
  <c r="C223" i="8"/>
  <c r="C338" i="8"/>
  <c r="D187" i="8"/>
  <c r="C112" i="8"/>
  <c r="D86" i="8"/>
  <c r="C86" i="8"/>
  <c r="D112" i="8"/>
  <c r="D39" i="8"/>
  <c r="C395" i="8"/>
  <c r="D403" i="8"/>
  <c r="C411" i="8"/>
  <c r="C446" i="8"/>
  <c r="D395" i="8"/>
  <c r="C403" i="8"/>
  <c r="C196" i="8"/>
  <c r="B463" i="8" l="1"/>
  <c r="D463" i="8"/>
  <c r="B472" i="8"/>
  <c r="H42" i="6"/>
  <c r="C9" i="12"/>
  <c r="H27" i="6" l="1"/>
  <c r="C435" i="8"/>
  <c r="C463" i="8" s="1"/>
  <c r="H26" i="6" l="1"/>
  <c r="H41" i="6" s="1"/>
  <c r="H40" i="6" l="1"/>
  <c r="H43" i="6" s="1"/>
  <c r="B9" i="12" l="1"/>
  <c r="F27" i="6" l="1"/>
  <c r="F30" i="6" s="1"/>
  <c r="C54" i="6"/>
  <c r="E53" i="6" s="1"/>
  <c r="D36" i="6"/>
  <c r="D37" i="6" s="1"/>
  <c r="H317" i="4"/>
  <c r="H331" i="4"/>
  <c r="H356" i="4"/>
  <c r="H552" i="4"/>
  <c r="H357" i="4"/>
  <c r="H358" i="4"/>
  <c r="H361" i="4"/>
  <c r="H359" i="4"/>
  <c r="H365" i="4"/>
  <c r="H355" i="4"/>
  <c r="H360" i="4"/>
  <c r="H354" i="4"/>
</calcChain>
</file>

<file path=xl/sharedStrings.xml><?xml version="1.0" encoding="utf-8"?>
<sst xmlns="http://schemas.openxmlformats.org/spreadsheetml/2006/main" count="1022" uniqueCount="509">
  <si>
    <t>Fiscal Year 2027 Budget</t>
  </si>
  <si>
    <t>(All Figures Are Estimates)</t>
  </si>
  <si>
    <t xml:space="preserve">REVENUE </t>
  </si>
  <si>
    <t>FY 2026</t>
  </si>
  <si>
    <t>FY 2027</t>
  </si>
  <si>
    <t>FY24</t>
  </si>
  <si>
    <t>BACKCHARGES</t>
  </si>
  <si>
    <t>FY2026</t>
  </si>
  <si>
    <t>FY2027</t>
  </si>
  <si>
    <t>FY 2026 Levy</t>
  </si>
  <si>
    <r>
      <t>State and County Charges &amp; Deficits</t>
    </r>
    <r>
      <rPr>
        <i/>
        <sz val="12"/>
        <rFont val="Arial MT"/>
      </rPr>
      <t/>
    </r>
  </si>
  <si>
    <t>(1665+12000+261530)</t>
  </si>
  <si>
    <t>FY2025 Amended New Growth</t>
  </si>
  <si>
    <t>Abatements and Exemptions</t>
  </si>
  <si>
    <t>2 1/2 Tax Increase</t>
  </si>
  <si>
    <t>Library</t>
  </si>
  <si>
    <t>New Growth</t>
  </si>
  <si>
    <t>Charter School Sending</t>
  </si>
  <si>
    <t>Debt Exclusion</t>
  </si>
  <si>
    <t>School Choice Sending/Receiving</t>
  </si>
  <si>
    <t>State Aid Chap. 70 (HWM's estimate)</t>
  </si>
  <si>
    <t>Charter Tuition Reimbursement</t>
  </si>
  <si>
    <t>State Aid Local  (HWM's estimate)</t>
  </si>
  <si>
    <t>Veterans Benefits</t>
  </si>
  <si>
    <t>Exempt Elderly</t>
  </si>
  <si>
    <t>EXPENSES</t>
  </si>
  <si>
    <t>State Owned Land</t>
  </si>
  <si>
    <t>Local Government General Cost</t>
  </si>
  <si>
    <t>Public Library</t>
  </si>
  <si>
    <t>Reserved for Debt Exclusion</t>
  </si>
  <si>
    <t>School Choice</t>
  </si>
  <si>
    <t>Local Schools-Net School Spending</t>
  </si>
  <si>
    <t>Motor Vehicle Excise</t>
  </si>
  <si>
    <t>Local Schools-Non Net School Spending</t>
  </si>
  <si>
    <t>Other Excise</t>
  </si>
  <si>
    <t>Regional Vocational H.S.</t>
  </si>
  <si>
    <t xml:space="preserve">Rentals Solar </t>
  </si>
  <si>
    <t>S/B/HighSchool Assesment</t>
  </si>
  <si>
    <t>Meals Tax</t>
  </si>
  <si>
    <t>S/B/HighSchool Taxation</t>
  </si>
  <si>
    <t>Pen. &amp; Int.</t>
  </si>
  <si>
    <t>Regional Aggy.</t>
  </si>
  <si>
    <t>Other Charges</t>
  </si>
  <si>
    <t>Town Meeting</t>
  </si>
  <si>
    <t>Fees</t>
  </si>
  <si>
    <t>License &amp; Permits</t>
  </si>
  <si>
    <t>REVENUE</t>
  </si>
  <si>
    <t>Fines</t>
  </si>
  <si>
    <t>Invest Income</t>
  </si>
  <si>
    <t>E.M.S. Receipts Reserved Account</t>
  </si>
  <si>
    <r>
      <t xml:space="preserve">    Surplus/</t>
    </r>
    <r>
      <rPr>
        <b/>
        <sz val="12"/>
        <rFont val="Arial MT"/>
      </rPr>
      <t>(Deficit)</t>
    </r>
  </si>
  <si>
    <t>Overlay Surplus - ATM</t>
  </si>
  <si>
    <t>High School Stabilization</t>
  </si>
  <si>
    <t>Stabilization Fund Override**</t>
  </si>
  <si>
    <t>Operating Free Cash</t>
  </si>
  <si>
    <t>FY 2026 Revenue less Free Cash</t>
  </si>
  <si>
    <t>General Stabilization Fund</t>
  </si>
  <si>
    <t>FY 2025 Revenue less Free Cash</t>
  </si>
  <si>
    <t>Revenue Growth</t>
  </si>
  <si>
    <t>Revenue Growth as percentage</t>
  </si>
  <si>
    <t>Appropriations</t>
  </si>
  <si>
    <t>FY2025 Free Cash</t>
  </si>
  <si>
    <t>From taxation</t>
  </si>
  <si>
    <r>
      <t>Snow and Ice (</t>
    </r>
    <r>
      <rPr>
        <b/>
        <sz val="11"/>
        <color theme="1"/>
        <rFont val="Calibri"/>
        <family val="2"/>
        <scheme val="minor"/>
      </rPr>
      <t>Article #3</t>
    </r>
    <r>
      <rPr>
        <sz val="11"/>
        <color theme="1"/>
        <rFont val="Calibri"/>
        <family val="2"/>
        <scheme val="minor"/>
      </rPr>
      <t>)</t>
    </r>
  </si>
  <si>
    <t>EMS Receipts</t>
  </si>
  <si>
    <r>
      <t>Past Due Bills (</t>
    </r>
    <r>
      <rPr>
        <b/>
        <sz val="11"/>
        <color theme="1"/>
        <rFont val="Calibri"/>
        <family val="2"/>
        <scheme val="minor"/>
      </rPr>
      <t>Article #3</t>
    </r>
    <r>
      <rPr>
        <sz val="11"/>
        <color theme="1"/>
        <rFont val="Calibri"/>
        <family val="2"/>
        <scheme val="minor"/>
      </rPr>
      <t>)</t>
    </r>
  </si>
  <si>
    <t>Subtotal (Article #4)</t>
  </si>
  <si>
    <t>FY 2026 Expenses and Backcharges</t>
  </si>
  <si>
    <t>Opioid Settlement</t>
  </si>
  <si>
    <t>FY 2025 Expenses and Backcharges</t>
  </si>
  <si>
    <r>
      <t xml:space="preserve">Operating Free Cash </t>
    </r>
    <r>
      <rPr>
        <b/>
        <sz val="11"/>
        <color theme="1"/>
        <rFont val="Calibri"/>
        <family val="2"/>
        <scheme val="minor"/>
      </rPr>
      <t>(Article #6)</t>
    </r>
  </si>
  <si>
    <t>From taxation (Article #5)</t>
  </si>
  <si>
    <t>Cost growth</t>
  </si>
  <si>
    <t>Personnel Reserve</t>
  </si>
  <si>
    <t>Cost growth as percentage</t>
  </si>
  <si>
    <t>Capital Improvement Plan</t>
  </si>
  <si>
    <t>From free cash</t>
  </si>
  <si>
    <t>Balance</t>
  </si>
  <si>
    <t>From general stabilization</t>
  </si>
  <si>
    <t>subtotal (Article #6)</t>
  </si>
  <si>
    <t>from HS Stabilization</t>
  </si>
  <si>
    <t>subtotal (Article #7)</t>
  </si>
  <si>
    <t>total budget</t>
  </si>
  <si>
    <t>FY2025</t>
  </si>
  <si>
    <t>General Levy</t>
  </si>
  <si>
    <t>Debt Exclusions</t>
  </si>
  <si>
    <t>SBRHS Appropriation</t>
  </si>
  <si>
    <t xml:space="preserve">State Aid </t>
  </si>
  <si>
    <t>Local Receipts</t>
  </si>
  <si>
    <t>Totals</t>
  </si>
  <si>
    <r>
      <t>APPENDIX A</t>
    </r>
    <r>
      <rPr>
        <b/>
        <sz val="16"/>
        <rFont val="Arial MT"/>
      </rPr>
      <t>:  FY 2027 OPERATING BUDGET (BY LINE ITEM)</t>
    </r>
  </si>
  <si>
    <t>TA Needs</t>
  </si>
  <si>
    <t>FINCOM</t>
  </si>
  <si>
    <t>BOS</t>
  </si>
  <si>
    <t>ORG CODE</t>
  </si>
  <si>
    <t>FUND &amp; OBJECT CODE</t>
  </si>
  <si>
    <t>DESCRIPTION</t>
  </si>
  <si>
    <t>Budget</t>
  </si>
  <si>
    <t>% CHANGE</t>
  </si>
  <si>
    <t>$ CHANGE</t>
  </si>
  <si>
    <t>FY27</t>
  </si>
  <si>
    <t>RESERVE FUND</t>
  </si>
  <si>
    <t xml:space="preserve">RESERVE FUND OR UNFORSEEN     </t>
  </si>
  <si>
    <t>Municipal</t>
  </si>
  <si>
    <t>TOTAL</t>
  </si>
  <si>
    <t xml:space="preserve">RESERVE FUND          </t>
  </si>
  <si>
    <t>MODERATOR</t>
  </si>
  <si>
    <t xml:space="preserve">SALARIES-MODERATOR            </t>
  </si>
  <si>
    <t>HOURLY WAGES</t>
  </si>
  <si>
    <t>OTHER CHARGES</t>
  </si>
  <si>
    <t xml:space="preserve">MODERATOR             </t>
  </si>
  <si>
    <t>SELECTMEN</t>
  </si>
  <si>
    <t xml:space="preserve">SALARIES-BOARD OF SELECTMEN   </t>
  </si>
  <si>
    <t>SALARIES-TOWN ADMINISTRATOR</t>
  </si>
  <si>
    <t xml:space="preserve">SALARIES-CLERICAL             </t>
  </si>
  <si>
    <t>SALARIES-ADD. TEMP. HOURS</t>
  </si>
  <si>
    <t>WEIGHTS &amp; MEASURES</t>
  </si>
  <si>
    <t xml:space="preserve">ENGINEERING FEES              </t>
  </si>
  <si>
    <t xml:space="preserve">OFFICE SUPPLIES               </t>
  </si>
  <si>
    <t xml:space="preserve">TRAVEL                        </t>
  </si>
  <si>
    <t xml:space="preserve">DUES/SUBSCRIPTION/MEMBERSHIP  </t>
  </si>
  <si>
    <t xml:space="preserve">ADDITIONAL EQUIPMENT/PHONE         </t>
  </si>
  <si>
    <t>Town Administrator Search</t>
  </si>
  <si>
    <t xml:space="preserve">SELECTMEN             </t>
  </si>
  <si>
    <t>FINANCE COMMITTEE</t>
  </si>
  <si>
    <t>ATFC Dues</t>
  </si>
  <si>
    <t>ATFC Annual Meeting</t>
  </si>
  <si>
    <t>MMA Annual Conference</t>
  </si>
  <si>
    <t>Office Supplies</t>
  </si>
  <si>
    <t xml:space="preserve">FINANCE COMMITTEE     </t>
  </si>
  <si>
    <t>TOWN ACCOUNTANT</t>
  </si>
  <si>
    <t xml:space="preserve">SALARIES - TOWN ACCOUNTANT    </t>
  </si>
  <si>
    <t>SALARIES - ASST. TOWN ACCOUNTANT</t>
  </si>
  <si>
    <t xml:space="preserve">AUDITING                      </t>
  </si>
  <si>
    <t xml:space="preserve">GASB 45 VALUATION             </t>
  </si>
  <si>
    <t xml:space="preserve">TRAVEL/TRAINING                        </t>
  </si>
  <si>
    <t>Postage</t>
  </si>
  <si>
    <t>Seminar/Conf Exp</t>
  </si>
  <si>
    <t>570-</t>
  </si>
  <si>
    <t>Postage Meter</t>
  </si>
  <si>
    <t xml:space="preserve">TOWN ACCOUNTANT       </t>
  </si>
  <si>
    <t>ASSESSORS</t>
  </si>
  <si>
    <t xml:space="preserve">SALARIES - BOARD OF ASSESSORS </t>
  </si>
  <si>
    <t>SALARIES - TOWN ASSESSOR</t>
  </si>
  <si>
    <t>RECERTIFICATION</t>
  </si>
  <si>
    <t xml:space="preserve">TRAINING &amp; TESTING            </t>
  </si>
  <si>
    <t>LIST/SERVE</t>
  </si>
  <si>
    <t xml:space="preserve">SOFTWARE EXPENSE              </t>
  </si>
  <si>
    <t>MAPPING</t>
  </si>
  <si>
    <t xml:space="preserve">ADDITIONAL EQUIPMENT          </t>
  </si>
  <si>
    <t>MMA Expense</t>
  </si>
  <si>
    <t>NearMap</t>
  </si>
  <si>
    <t xml:space="preserve">ASSESSORS             </t>
  </si>
  <si>
    <t>TOWN TREASURER</t>
  </si>
  <si>
    <t xml:space="preserve">SALARIES-TREASURER            </t>
  </si>
  <si>
    <t xml:space="preserve">SALARIES-H.R. ADMIN./ASST. TREA.        </t>
  </si>
  <si>
    <t xml:space="preserve">SALARIES- CLERICAL        </t>
  </si>
  <si>
    <t>SALARIES-Appointed Treasurer/Collector</t>
  </si>
  <si>
    <t>POSTAGE</t>
  </si>
  <si>
    <t>TAX TITLE</t>
  </si>
  <si>
    <t>Education</t>
  </si>
  <si>
    <t xml:space="preserve">TOWN TREASURER        </t>
  </si>
  <si>
    <t>TOWN COLLECTOR</t>
  </si>
  <si>
    <t xml:space="preserve">SALARIES-TOWN COLLECTOR       </t>
  </si>
  <si>
    <t>Certification Bonues</t>
  </si>
  <si>
    <t xml:space="preserve">TOWN COLLECTOR        </t>
  </si>
  <si>
    <t>TOWN COUNSEL</t>
  </si>
  <si>
    <t xml:space="preserve">LEGAL- LAND COURT             </t>
  </si>
  <si>
    <t xml:space="preserve">COURT JUDGEMENTS              </t>
  </si>
  <si>
    <t xml:space="preserve">TOWN COUNSEL          </t>
  </si>
  <si>
    <t>DATA PROCESSING</t>
  </si>
  <si>
    <t xml:space="preserve">SALARIES-SYSTEM ADMINISTRATOR </t>
  </si>
  <si>
    <t>SOFTWARE MAINTENANCE AGREEMENT</t>
  </si>
  <si>
    <t>IMC-CJS SOFTWARE</t>
  </si>
  <si>
    <t xml:space="preserve">INTERNET SERVICES             </t>
  </si>
  <si>
    <t>COMCAST PHONES</t>
  </si>
  <si>
    <t xml:space="preserve">RECORD ARCHIVING              </t>
  </si>
  <si>
    <t>SOFTWARE SUBSCRIPTIONS</t>
  </si>
  <si>
    <t>Wide Area Network Maintenance</t>
  </si>
  <si>
    <t>HARPERS PAYROLL</t>
  </si>
  <si>
    <t>VIRTUAL TOWN HALL</t>
  </si>
  <si>
    <t>Digital Storage</t>
  </si>
  <si>
    <t xml:space="preserve">DATA PROCESSING       </t>
  </si>
  <si>
    <t>TOWN CLERK</t>
  </si>
  <si>
    <t xml:space="preserve">SALARIES-TOWN CLERK           </t>
  </si>
  <si>
    <t>Salaries - Mandate Pay</t>
  </si>
  <si>
    <t>BOOK BINDING</t>
  </si>
  <si>
    <t>CENSUS</t>
  </si>
  <si>
    <t xml:space="preserve">TOWN CLERK            </t>
  </si>
  <si>
    <t>ELECTIONS &amp; REGISTRATIONS</t>
  </si>
  <si>
    <t xml:space="preserve">SALARIES-TEMPORARY            </t>
  </si>
  <si>
    <t>Salaries- Stipend</t>
  </si>
  <si>
    <t>OTHER CHARGES ELECTIONS</t>
  </si>
  <si>
    <t xml:space="preserve">POLICE DETAIL                 </t>
  </si>
  <si>
    <t>OTHER CHARGES REGISTRATION</t>
  </si>
  <si>
    <t>Additional Equipment</t>
  </si>
  <si>
    <t>PLANNING BOARD</t>
  </si>
  <si>
    <t xml:space="preserve">SALARIES - ELECTED           </t>
  </si>
  <si>
    <t xml:space="preserve">PLANNING BOARD        </t>
  </si>
  <si>
    <t>TOWN  BUILDINGS</t>
  </si>
  <si>
    <t xml:space="preserve">SALARIES - MAINTENANCE        </t>
  </si>
  <si>
    <t xml:space="preserve">ENERGY                        </t>
  </si>
  <si>
    <t>PEST CONTROL</t>
  </si>
  <si>
    <t>TELEPHONE</t>
  </si>
  <si>
    <t xml:space="preserve">CUSTODIAL SERVICES            </t>
  </si>
  <si>
    <t xml:space="preserve">SUPPLIES                      </t>
  </si>
  <si>
    <t xml:space="preserve">TOWN  BUILDINGS       </t>
  </si>
  <si>
    <t>PUBLIC SAFETY BUILDING</t>
  </si>
  <si>
    <t>TMLP</t>
  </si>
  <si>
    <t xml:space="preserve">WATER                         </t>
  </si>
  <si>
    <t xml:space="preserve">R. &amp; M.- BUILDINGS &amp; GROUNDS  </t>
  </si>
  <si>
    <t xml:space="preserve">BOILER INSPECTION       </t>
  </si>
  <si>
    <t xml:space="preserve">R. &amp; M.- GARAGE DOORS           </t>
  </si>
  <si>
    <t xml:space="preserve">R. &amp; M. EMERGENCY REPAIRS             </t>
  </si>
  <si>
    <t>R. &amp; M.- GENERATOR</t>
  </si>
  <si>
    <t>HEATING SYSTEM</t>
  </si>
  <si>
    <t>SNOW &amp; ICE</t>
  </si>
  <si>
    <t xml:space="preserve">R. &amp; M.- FIRE EXTINUISHERS               </t>
  </si>
  <si>
    <t>CLEANING &amp; MAINT.</t>
  </si>
  <si>
    <t xml:space="preserve">SEPTIC </t>
  </si>
  <si>
    <t>WATER INSPECTION</t>
  </si>
  <si>
    <t xml:space="preserve">TELEPHONE                     </t>
  </si>
  <si>
    <t>INTERNET</t>
  </si>
  <si>
    <t>Shared Resources</t>
  </si>
  <si>
    <t>PROPANE</t>
  </si>
  <si>
    <t>PHONE BACK-UP</t>
  </si>
  <si>
    <t xml:space="preserve">OTHER SUPPLIES                </t>
  </si>
  <si>
    <t>Station Renovation and Repair</t>
  </si>
  <si>
    <t>Public Safety</t>
  </si>
  <si>
    <t>PENSIONS</t>
  </si>
  <si>
    <t xml:space="preserve">BRISTOL COUNTY RETIREMENT     </t>
  </si>
  <si>
    <t xml:space="preserve">MEDICARE                      </t>
  </si>
  <si>
    <t>Pensions</t>
  </si>
  <si>
    <t xml:space="preserve">PENSIONS              </t>
  </si>
  <si>
    <t>WORKERS COMPENSATION</t>
  </si>
  <si>
    <t xml:space="preserve">FRINGE BENEFIT/CHARGES        </t>
  </si>
  <si>
    <t>Insurance</t>
  </si>
  <si>
    <t xml:space="preserve">WORKERS COMPENSATION  </t>
  </si>
  <si>
    <t>UNEMPLOYMENT COMPENSATION</t>
  </si>
  <si>
    <t xml:space="preserve">UNEMPLOYMENT INSURANCE        </t>
  </si>
  <si>
    <t>HEALTH INSURANCE</t>
  </si>
  <si>
    <t>BLUE CROSS/ BLUE SHIELD HEALTH</t>
  </si>
  <si>
    <t xml:space="preserve">FLEXIBLE BENEFIT PLAN         </t>
  </si>
  <si>
    <t xml:space="preserve">HEALTH INSURANCE      </t>
  </si>
  <si>
    <t>LIABILITY INSURANCE</t>
  </si>
  <si>
    <t>INS. PR. DIS.-FIRE-POL. ACC. H</t>
  </si>
  <si>
    <t xml:space="preserve">LIABILITY INSURANCE           </t>
  </si>
  <si>
    <t xml:space="preserve">LIABILITY INSURANCE   </t>
  </si>
  <si>
    <t>POLICE DEPT.</t>
  </si>
  <si>
    <t xml:space="preserve">SALARIES - POLICE CHIEF       </t>
  </si>
  <si>
    <t xml:space="preserve">SALARIES- PERMANENT POSITIONS </t>
  </si>
  <si>
    <t xml:space="preserve">SALARIES- HOLIDAY PAY         </t>
  </si>
  <si>
    <t>SALARIES - PART TIME</t>
  </si>
  <si>
    <t xml:space="preserve">SALARIES-OVERTIME             </t>
  </si>
  <si>
    <t>HARBORMASTER</t>
  </si>
  <si>
    <t>Salaries Add Holiday</t>
  </si>
  <si>
    <t>SALARIES-ADD. PERSONAL DAYS</t>
  </si>
  <si>
    <t>Salaries Accreditation</t>
  </si>
  <si>
    <t>Salaries- Bridge, Swat, Search and Rescue</t>
  </si>
  <si>
    <t>SICK LEAVE BONUS</t>
  </si>
  <si>
    <t>Longevity</t>
  </si>
  <si>
    <t>Admin</t>
  </si>
  <si>
    <t xml:space="preserve">CLOTHING ALLOWANCE            </t>
  </si>
  <si>
    <t>DAMAGED PER. PROP.</t>
  </si>
  <si>
    <t xml:space="preserve">R. &amp; M. VEHICLES              </t>
  </si>
  <si>
    <t xml:space="preserve">R. &amp; M.  EQUIPMENT      </t>
  </si>
  <si>
    <t xml:space="preserve">R. &amp; M.- SOFTWARE             </t>
  </si>
  <si>
    <t>CLEANING SUPPLIES &amp; SERVICE</t>
  </si>
  <si>
    <t>DRY CLEANING</t>
  </si>
  <si>
    <t>MPA LEGAL DEFENSE</t>
  </si>
  <si>
    <t>CELL PHONE</t>
  </si>
  <si>
    <t>Insurance -contract</t>
  </si>
  <si>
    <t>Website/Public Relations</t>
  </si>
  <si>
    <t xml:space="preserve">POLICE REFORM BILL FTE    </t>
  </si>
  <si>
    <t>POLICE REFORM BILL RES</t>
  </si>
  <si>
    <t>ACCREDITATION SOFTWARE</t>
  </si>
  <si>
    <t>ACCREDITATION DUES</t>
  </si>
  <si>
    <t>TRAINING SUPPLIES</t>
  </si>
  <si>
    <t>CRITICAL INCIDENT TRAINING</t>
  </si>
  <si>
    <t>CONTRACTED SERVICES</t>
  </si>
  <si>
    <t xml:space="preserve">MEALS                         </t>
  </si>
  <si>
    <t>UNIFORM AMMO</t>
  </si>
  <si>
    <t xml:space="preserve">TRAVEL   SEMINARS                     </t>
  </si>
  <si>
    <t>LOCK-UP</t>
  </si>
  <si>
    <t>SEMLEC</t>
  </si>
  <si>
    <t>VESTS</t>
  </si>
  <si>
    <t xml:space="preserve">Taser Cart </t>
  </si>
  <si>
    <t>DEPT. ISSUED FIREARMS</t>
  </si>
  <si>
    <t xml:space="preserve">EQUIPMENT                     </t>
  </si>
  <si>
    <t>AED &amp; NARCAN</t>
  </si>
  <si>
    <t xml:space="preserve"> ADDITIONAL EQUIPMENT                     </t>
  </si>
  <si>
    <t xml:space="preserve">POLICE DEPT.          </t>
  </si>
  <si>
    <t>FIRE DEPARTMENT</t>
  </si>
  <si>
    <t xml:space="preserve">SALARIES - FIRE CHIEF         </t>
  </si>
  <si>
    <t xml:space="preserve">SALARIES-TEMPORARY-CALLMEN    </t>
  </si>
  <si>
    <t xml:space="preserve">SALARIES-HOLIDAY             </t>
  </si>
  <si>
    <t xml:space="preserve"> INSPECTIONS        </t>
  </si>
  <si>
    <t>MAINTENANCE AGREEMENTS</t>
  </si>
  <si>
    <t>R. &amp; M.- EQUIPMENT/RADIOS</t>
  </si>
  <si>
    <t xml:space="preserve"> RADIO LICENSING          </t>
  </si>
  <si>
    <t xml:space="preserve">MEDICAL EXAMS                 </t>
  </si>
  <si>
    <t xml:space="preserve">TRAINING/CPR/1ST-AID          </t>
  </si>
  <si>
    <t>OUTSIDE SERVICES</t>
  </si>
  <si>
    <t>E.M.A. DEPARTMENT</t>
  </si>
  <si>
    <t>TURNOUT GEAR</t>
  </si>
  <si>
    <t>BOX ALARM MAINTENANCE</t>
  </si>
  <si>
    <t>Self Contained Breathing Apparatus</t>
  </si>
  <si>
    <t xml:space="preserve">FIRE DEPARTMENT       </t>
  </si>
  <si>
    <t>EMERGENCY MEDICAL SERVICES</t>
  </si>
  <si>
    <t xml:space="preserve">SALARIES - DIRECTOR           </t>
  </si>
  <si>
    <t xml:space="preserve">SALARIES - FINANCE ASST       </t>
  </si>
  <si>
    <t>SALARIES -CALL E.M.T.</t>
  </si>
  <si>
    <t>CON-ED</t>
  </si>
  <si>
    <t xml:space="preserve">R. &amp; M.- EQUIPMENT </t>
  </si>
  <si>
    <t>R. &amp; M.- VEHICLES</t>
  </si>
  <si>
    <t xml:space="preserve">SAFETY </t>
  </si>
  <si>
    <t>CELL PHONES</t>
  </si>
  <si>
    <t xml:space="preserve">QUALITY ASSURANCE PROGRAM     </t>
  </si>
  <si>
    <t>LIABILITY INS.</t>
  </si>
  <si>
    <t xml:space="preserve">MEDICAL SURGICAL SUPPLIES     </t>
  </si>
  <si>
    <t>EMERGENCY MEDICAL SERV</t>
  </si>
  <si>
    <t>BUILDING DEPARTMENT</t>
  </si>
  <si>
    <t>Salaries- Inspector</t>
  </si>
  <si>
    <t xml:space="preserve">SALARIES- COMMISSIONER        </t>
  </si>
  <si>
    <t xml:space="preserve">SALARIES - WIRE INSPECTOR     </t>
  </si>
  <si>
    <t>SALARIES-DEPUTY BUILDING INSP.</t>
  </si>
  <si>
    <t>SALARIES-GAS/PLUMBING INSPECT.</t>
  </si>
  <si>
    <t xml:space="preserve">SALARIES-MILEAGE         </t>
  </si>
  <si>
    <t>VEHICLE SUPPLIES - MAINTENANCE</t>
  </si>
  <si>
    <t>ADDITIONAL EQUIPMENT/ Regulation Manuals</t>
  </si>
  <si>
    <t>E-Permitting Software</t>
  </si>
  <si>
    <t xml:space="preserve">BUILDING DEPARTMENT   </t>
  </si>
  <si>
    <t>COMMUNICATIONS DEPT.</t>
  </si>
  <si>
    <t xml:space="preserve">SALARIES-RESERVES  </t>
  </si>
  <si>
    <t>SALARIES- NEW HIRE TRAINING/ Cont. Ed</t>
  </si>
  <si>
    <t>PART-TIME SICK &amp; OVERTIME</t>
  </si>
  <si>
    <t>Additional Holiday</t>
  </si>
  <si>
    <t>EMD Training</t>
  </si>
  <si>
    <t>ANIMAL CONTROL/DOG OFFICER</t>
  </si>
  <si>
    <t>SALARIES - STIPEND</t>
  </si>
  <si>
    <t xml:space="preserve">R. &amp; M.- VEHICLE            </t>
  </si>
  <si>
    <t>FIELD SUPPLIES</t>
  </si>
  <si>
    <t xml:space="preserve">EMERGENCY VET EXPENSES        </t>
  </si>
  <si>
    <t>FORESTRY</t>
  </si>
  <si>
    <t xml:space="preserve">SALARIES-TREE WARDEN          </t>
  </si>
  <si>
    <t xml:space="preserve">TREE REMOVAL                  </t>
  </si>
  <si>
    <t xml:space="preserve">TREE PLANTING                 </t>
  </si>
  <si>
    <t xml:space="preserve">FORESTRY              </t>
  </si>
  <si>
    <t>MISCELLANEOUS</t>
  </si>
  <si>
    <t>TOWN FUEL</t>
  </si>
  <si>
    <t>SRPEDD</t>
  </si>
  <si>
    <t>MUNIC.  LEASES</t>
  </si>
  <si>
    <t>Stormwater Reporting</t>
  </si>
  <si>
    <t>IN-LINE OF DUTY INJURY FUND</t>
  </si>
  <si>
    <t>UNFUNDED LIABILITY</t>
  </si>
  <si>
    <t xml:space="preserve">MISCELLANEOUS         </t>
  </si>
  <si>
    <t>SCHOOL DEPARTMENT</t>
  </si>
  <si>
    <t>SCHOOL SPENDING</t>
  </si>
  <si>
    <t>SCHOOL COM. SALARY</t>
  </si>
  <si>
    <t>NEW</t>
  </si>
  <si>
    <t>K-8 OUT OF DISTRICT SPECIAL EDUCATION</t>
  </si>
  <si>
    <t>K-8 HEALTH INSURANCE</t>
  </si>
  <si>
    <t>TRANSPORTATION</t>
  </si>
  <si>
    <t>K-8 WORKERS COMP.</t>
  </si>
  <si>
    <t>K-8 LIABILITY INSURANCE</t>
  </si>
  <si>
    <t>S/B HIGH SCHOOL ASSESS.</t>
  </si>
  <si>
    <t xml:space="preserve">B/P/ REGIONAL SCHOOL               </t>
  </si>
  <si>
    <t>BRISTOL AGGY.</t>
  </si>
  <si>
    <t>SBRHS SPEDD OUTSOURCED/RESIDENTIAL</t>
  </si>
  <si>
    <t>Feasibility Study</t>
  </si>
  <si>
    <t>Schools</t>
  </si>
  <si>
    <t xml:space="preserve">SCHOOL DEPARTMENT     </t>
  </si>
  <si>
    <t>HIGHWAY DEPARTMENT</t>
  </si>
  <si>
    <t xml:space="preserve">SALARIES - STIPEND            </t>
  </si>
  <si>
    <t xml:space="preserve">SALARIES-HIGHWAY SUPER.       </t>
  </si>
  <si>
    <t xml:space="preserve">SALARIES - PART TIME    </t>
  </si>
  <si>
    <t>EXPENSES - UNION CONTRACT</t>
  </si>
  <si>
    <t xml:space="preserve">R. &amp; M.- EQUIPMENT            </t>
  </si>
  <si>
    <t xml:space="preserve">R. &amp; M.- RADIO                </t>
  </si>
  <si>
    <t xml:space="preserve">R &amp; M - STREET PAVING/MARKING </t>
  </si>
  <si>
    <t>TRASH DISPOSAL</t>
  </si>
  <si>
    <t xml:space="preserve">GRASS CUTTING                 </t>
  </si>
  <si>
    <t xml:space="preserve">RECYCLING                     </t>
  </si>
  <si>
    <t xml:space="preserve">COMMUNICATIONS-ADVERTISING    </t>
  </si>
  <si>
    <t xml:space="preserve">P.W. SUPPLIES -   </t>
  </si>
  <si>
    <t xml:space="preserve">PERSONNEL SAFETY SUPPLIES     </t>
  </si>
  <si>
    <t xml:space="preserve">STREET SIGN SUPPLIES          </t>
  </si>
  <si>
    <t>STORMWATER</t>
  </si>
  <si>
    <t>SNOW REMOVAL</t>
  </si>
  <si>
    <t xml:space="preserve">ROAD MATERIALS                </t>
  </si>
  <si>
    <t xml:space="preserve">EQUIPMENT LEASE               </t>
  </si>
  <si>
    <t>Public Works</t>
  </si>
  <si>
    <t>HIGHWAY</t>
  </si>
  <si>
    <t>VETERANS GRAVES</t>
  </si>
  <si>
    <t>CARE VETS GRAVES</t>
  </si>
  <si>
    <t>MEMORIAL DAY</t>
  </si>
  <si>
    <t>STREET LIGHTS</t>
  </si>
  <si>
    <t>Fiber Business Internet</t>
  </si>
  <si>
    <t xml:space="preserve">STREET LIGHTS         </t>
  </si>
  <si>
    <t>CEMETERY</t>
  </si>
  <si>
    <t xml:space="preserve">R. &amp; M.-ROAD WAYS &amp; GROUNDS  </t>
  </si>
  <si>
    <t xml:space="preserve">GASOLINE                      </t>
  </si>
  <si>
    <t>BUILDING REPAIRS/MAINT./SUPPLY</t>
  </si>
  <si>
    <t xml:space="preserve">CEMETERY              </t>
  </si>
  <si>
    <t>HEALTH DEPARTMENT</t>
  </si>
  <si>
    <t xml:space="preserve">SALARIES-BOARD                </t>
  </si>
  <si>
    <t>Human Services</t>
  </si>
  <si>
    <t xml:space="preserve">HEALTH DEPARTMENT     </t>
  </si>
  <si>
    <t>COUNCIL ON  AGING</t>
  </si>
  <si>
    <t xml:space="preserve">SALARIES-DIRECTOR             </t>
  </si>
  <si>
    <t>Salaries - Admin Assistant</t>
  </si>
  <si>
    <t>NEWSLETTER</t>
  </si>
  <si>
    <t>TRAINING EDUCATION</t>
  </si>
  <si>
    <t xml:space="preserve">POSTAGE                    </t>
  </si>
  <si>
    <t>OFFICE EQUIP</t>
  </si>
  <si>
    <t>WELLNESS PROGRAM</t>
  </si>
  <si>
    <t xml:space="preserve">OTHER </t>
  </si>
  <si>
    <t xml:space="preserve">TRAVEL  -BUS TRIPS                </t>
  </si>
  <si>
    <t xml:space="preserve">COUNCIL ON  AGING     </t>
  </si>
  <si>
    <t>VETERANS DEPARTMENT</t>
  </si>
  <si>
    <t xml:space="preserve">SALARIES-PERM. POSITION       </t>
  </si>
  <si>
    <t>OFFICE RENTAL DIGHTON</t>
  </si>
  <si>
    <t xml:space="preserve">VETERANS BENEFITS             </t>
  </si>
  <si>
    <t xml:space="preserve">VETERANS DEPARTMENT   </t>
  </si>
  <si>
    <t>LIBRARY DEPARTMENT</t>
  </si>
  <si>
    <t xml:space="preserve">SALARIES-DIRECTOR  </t>
  </si>
  <si>
    <t>PATRON SERVICES ASSOCIATE</t>
  </si>
  <si>
    <t xml:space="preserve">SALARIES-EDUCATION            </t>
  </si>
  <si>
    <t xml:space="preserve">SALARIES-LIBRARY TECHS.       </t>
  </si>
  <si>
    <t xml:space="preserve">SALARIES-CUSTODIAN PART-TIME  </t>
  </si>
  <si>
    <t xml:space="preserve">LONGEVITY                     </t>
  </si>
  <si>
    <t xml:space="preserve">R. &amp; M. OFFICE EQUIPMENT      </t>
  </si>
  <si>
    <t xml:space="preserve">TECH SUPPORT                  </t>
  </si>
  <si>
    <t xml:space="preserve">CONSULTING                    </t>
  </si>
  <si>
    <t xml:space="preserve">EDUCATION                     </t>
  </si>
  <si>
    <t xml:space="preserve">SAIL EXPENSES                 </t>
  </si>
  <si>
    <t xml:space="preserve">CHILDREN ED. SUPPLIES         </t>
  </si>
  <si>
    <t>OTHER SUPPL.-PURCH./UPDT.BOOKS</t>
  </si>
  <si>
    <t>ELECTRICITY</t>
  </si>
  <si>
    <t xml:space="preserve">LIBRARY DEPARTMENT    </t>
  </si>
  <si>
    <t>HISTORICAL COMMISSION</t>
  </si>
  <si>
    <t xml:space="preserve">TELEPHONE/ALARM               </t>
  </si>
  <si>
    <t xml:space="preserve">POSTAGE                       </t>
  </si>
  <si>
    <t xml:space="preserve">HISTORICAL COMMISSION </t>
  </si>
  <si>
    <t>CELEBRATIONS</t>
  </si>
  <si>
    <t xml:space="preserve">ROAD RACE                     </t>
  </si>
  <si>
    <t xml:space="preserve">HOLIDAYS                      </t>
  </si>
  <si>
    <t xml:space="preserve">OTHER CELEBRATIONS            </t>
  </si>
  <si>
    <t xml:space="preserve">EVENTS                        </t>
  </si>
  <si>
    <t xml:space="preserve">CELEBRATIONS          </t>
  </si>
  <si>
    <t>RETIREMENT OF DEBT</t>
  </si>
  <si>
    <t>Debt - Municipal</t>
  </si>
  <si>
    <t>TOWN OFFICE BLDG</t>
  </si>
  <si>
    <t>Debt - Schools</t>
  </si>
  <si>
    <t xml:space="preserve">SBRSD HIGH SCHOOL </t>
  </si>
  <si>
    <t>Bristol Plymouth High School</t>
  </si>
  <si>
    <t>Berkley Community School</t>
  </si>
  <si>
    <t>Multiple Use of Equipment</t>
  </si>
  <si>
    <t xml:space="preserve">RETIREMENT OF DEBT    </t>
  </si>
  <si>
    <t>INTEREST</t>
  </si>
  <si>
    <t>TOWN OFFICE BUILDING</t>
  </si>
  <si>
    <t xml:space="preserve">INTEREST              </t>
  </si>
  <si>
    <t>GRAND TOTAL</t>
  </si>
  <si>
    <t>FY 2027 Budget Distribution</t>
  </si>
  <si>
    <t>FY 2026 Budget Distribution</t>
  </si>
  <si>
    <t>Year over Year increase</t>
  </si>
  <si>
    <t>100 General Government</t>
  </si>
  <si>
    <t>200 Public Safety</t>
  </si>
  <si>
    <t>300 Education</t>
  </si>
  <si>
    <t>400 Public Works</t>
  </si>
  <si>
    <t>500 Human Services</t>
  </si>
  <si>
    <t>600 Culture and Recreation</t>
  </si>
  <si>
    <t>700 Debt Service</t>
  </si>
  <si>
    <t>900 Unclassified/Miscellaneous</t>
  </si>
  <si>
    <t>Total</t>
  </si>
  <si>
    <t>Revenue Sources</t>
  </si>
  <si>
    <t>Taxation</t>
  </si>
  <si>
    <t>State Aid</t>
  </si>
  <si>
    <t>SBRHS Stabilization</t>
  </si>
  <si>
    <t>Non Recurring</t>
  </si>
  <si>
    <t xml:space="preserve">  FY 2026 OPERATING BUDGET (BY DEPARTMENT)</t>
  </si>
  <si>
    <t>ACTUAL</t>
  </si>
  <si>
    <t>TO</t>
  </si>
  <si>
    <t>Level Services</t>
  </si>
  <si>
    <t xml:space="preserve">Selectmen </t>
  </si>
  <si>
    <t>APPROP</t>
  </si>
  <si>
    <t>RECOMM</t>
  </si>
  <si>
    <t>DEPARTMENT NAME</t>
  </si>
  <si>
    <t>ACCOUNT NAME</t>
  </si>
  <si>
    <t>Expense</t>
  </si>
  <si>
    <t>REQUEST</t>
  </si>
  <si>
    <t>Stipends</t>
  </si>
  <si>
    <t>Salaries Elected</t>
  </si>
  <si>
    <t>Salaries</t>
  </si>
  <si>
    <t>Capital Outlay</t>
  </si>
  <si>
    <t>EXPEND</t>
  </si>
  <si>
    <t>Salary Elected</t>
  </si>
  <si>
    <t>BRISTOL PLYMOUTH 3320</t>
  </si>
  <si>
    <t>Town Fuel</t>
  </si>
  <si>
    <t>In-LINE OF DUTY INJURY FUND</t>
  </si>
  <si>
    <t>Unfunded Liability</t>
  </si>
  <si>
    <t>SCHOOL DEPARTMENTS 3325</t>
  </si>
  <si>
    <t>Berkley School</t>
  </si>
  <si>
    <t>K-8 Out of District Special Education</t>
  </si>
  <si>
    <t>K-8 Transportation and Insurances</t>
  </si>
  <si>
    <t>S/B/ High School Assessment</t>
  </si>
  <si>
    <t>B.P. Regional High School</t>
  </si>
  <si>
    <t>Bristol Aggy. Assesment</t>
  </si>
  <si>
    <t>SBSRD Taxation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</si>
</sst>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yyyy"/>
    <numFmt numFmtId="166" formatCode="&quot;$&quot;#,##0.00"/>
    <numFmt numFmtId="167" formatCode="_(&quot;$&quot;* #,##0_);_(&quot;$&quot;* \(#,##0\);_(&quot;$&quot;* &quot;-&quot;??_);_(@_)"/>
    <numFmt numFmtId="168" formatCode="0.0000%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6"/>
      <name val="Arial MT"/>
    </font>
    <font>
      <b/>
      <sz val="16"/>
      <name val="Arial MT"/>
    </font>
    <font>
      <sz val="16"/>
      <name val="Arial MT"/>
    </font>
    <font>
      <b/>
      <sz val="18"/>
      <name val="Arial MT"/>
    </font>
    <font>
      <b/>
      <i/>
      <sz val="12"/>
      <name val="Arial MT"/>
    </font>
    <font>
      <b/>
      <sz val="12"/>
      <name val="Arial MT"/>
    </font>
    <font>
      <sz val="12"/>
      <name val="Arial MT"/>
    </font>
    <font>
      <b/>
      <u/>
      <sz val="12"/>
      <name val="Arial MT"/>
    </font>
    <font>
      <b/>
      <sz val="14"/>
      <name val="Arial MT"/>
    </font>
    <font>
      <sz val="14"/>
      <name val="Arial MT"/>
    </font>
    <font>
      <i/>
      <sz val="12"/>
      <name val="Arial MT"/>
    </font>
    <font>
      <sz val="9"/>
      <color theme="0"/>
      <name val="Arial MT"/>
    </font>
    <font>
      <sz val="12"/>
      <color theme="0"/>
      <name val="Arial MT"/>
    </font>
    <font>
      <b/>
      <sz val="10"/>
      <color theme="0"/>
      <name val="Arial MT"/>
    </font>
    <font>
      <b/>
      <sz val="9"/>
      <color theme="0"/>
      <name val="Arial MT"/>
    </font>
    <font>
      <b/>
      <sz val="14"/>
      <color theme="0"/>
      <name val="Arial MT"/>
    </font>
    <font>
      <sz val="10"/>
      <name val="Arial MT"/>
    </font>
    <font>
      <sz val="9"/>
      <name val="Arial MT"/>
    </font>
    <font>
      <u/>
      <sz val="12"/>
      <name val="Arial MT"/>
    </font>
    <font>
      <sz val="12"/>
      <color indexed="9"/>
      <name val="Arial MT"/>
    </font>
    <font>
      <sz val="12"/>
      <color indexed="8"/>
      <name val="Arial MT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 val="doubleAccounting"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41" fillId="0" borderId="0"/>
    <xf numFmtId="9" fontId="1" fillId="0" borderId="0" applyFont="0" applyFill="0" applyBorder="0" applyAlignment="0" applyProtection="0"/>
  </cellStyleXfs>
  <cellXfs count="267">
    <xf numFmtId="0" fontId="0" fillId="0" borderId="0" xfId="0"/>
    <xf numFmtId="0" fontId="16" fillId="0" borderId="0" xfId="0" applyFont="1" applyAlignment="1">
      <alignment horizontal="center"/>
    </xf>
    <xf numFmtId="164" fontId="0" fillId="0" borderId="0" xfId="0" applyNumberFormat="1"/>
    <xf numFmtId="0" fontId="20" fillId="0" borderId="0" xfId="0" applyFont="1"/>
    <xf numFmtId="0" fontId="0" fillId="0" borderId="11" xfId="0" applyBorder="1"/>
    <xf numFmtId="0" fontId="0" fillId="0" borderId="11" xfId="0" applyBorder="1" applyAlignment="1">
      <alignment horizontal="right"/>
    </xf>
    <xf numFmtId="0" fontId="0" fillId="33" borderId="11" xfId="0" applyFill="1" applyBorder="1"/>
    <xf numFmtId="0" fontId="16" fillId="33" borderId="11" xfId="0" applyFont="1" applyFill="1" applyBorder="1"/>
    <xf numFmtId="0" fontId="0" fillId="0" borderId="0" xfId="0" applyAlignment="1">
      <alignment horizontal="left"/>
    </xf>
    <xf numFmtId="0" fontId="23" fillId="0" borderId="0" xfId="0" applyFo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3" xfId="0" applyBorder="1"/>
    <xf numFmtId="37" fontId="0" fillId="0" borderId="13" xfId="0" applyNumberFormat="1" applyBorder="1"/>
    <xf numFmtId="37" fontId="0" fillId="0" borderId="13" xfId="0" applyNumberFormat="1" applyBorder="1" applyAlignment="1">
      <alignment horizontal="right"/>
    </xf>
    <xf numFmtId="0" fontId="23" fillId="0" borderId="0" xfId="0" applyFont="1" applyAlignment="1">
      <alignment horizontal="center"/>
    </xf>
    <xf numFmtId="37" fontId="0" fillId="0" borderId="0" xfId="0" applyNumberFormat="1"/>
    <xf numFmtId="0" fontId="26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27" fillId="0" borderId="0" xfId="0" applyFont="1" applyAlignment="1">
      <alignment horizontal="centerContinuous"/>
    </xf>
    <xf numFmtId="0" fontId="23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24" fillId="0" borderId="0" xfId="0" applyFont="1"/>
    <xf numFmtId="0" fontId="25" fillId="0" borderId="0" xfId="0" applyFont="1"/>
    <xf numFmtId="0" fontId="29" fillId="0" borderId="0" xfId="0" applyFont="1"/>
    <xf numFmtId="0" fontId="30" fillId="0" borderId="0" xfId="0" applyFont="1"/>
    <xf numFmtId="42" fontId="31" fillId="0" borderId="0" xfId="0" applyNumberFormat="1" applyFont="1"/>
    <xf numFmtId="5" fontId="23" fillId="0" borderId="0" xfId="0" applyNumberFormat="1" applyFont="1"/>
    <xf numFmtId="5" fontId="30" fillId="0" borderId="0" xfId="0" applyNumberFormat="1" applyFont="1"/>
    <xf numFmtId="7" fontId="30" fillId="0" borderId="0" xfId="0" applyNumberFormat="1" applyFont="1"/>
    <xf numFmtId="5" fontId="32" fillId="0" borderId="0" xfId="0" applyNumberFormat="1" applyFont="1"/>
    <xf numFmtId="0" fontId="33" fillId="0" borderId="0" xfId="0" applyFont="1"/>
    <xf numFmtId="164" fontId="36" fillId="0" borderId="0" xfId="0" applyNumberFormat="1" applyFont="1"/>
    <xf numFmtId="164" fontId="30" fillId="0" borderId="0" xfId="0" applyNumberFormat="1" applyFont="1"/>
    <xf numFmtId="0" fontId="37" fillId="0" borderId="0" xfId="0" applyFont="1"/>
    <xf numFmtId="5" fontId="35" fillId="0" borderId="0" xfId="0" applyNumberFormat="1" applyFont="1"/>
    <xf numFmtId="0" fontId="38" fillId="0" borderId="0" xfId="0" applyFont="1"/>
    <xf numFmtId="164" fontId="35" fillId="0" borderId="0" xfId="0" applyNumberFormat="1" applyFont="1" applyAlignment="1">
      <alignment horizontal="right"/>
    </xf>
    <xf numFmtId="0" fontId="38" fillId="0" borderId="0" xfId="0" applyFont="1" applyAlignment="1">
      <alignment horizontal="center"/>
    </xf>
    <xf numFmtId="164" fontId="35" fillId="0" borderId="0" xfId="0" applyNumberFormat="1" applyFont="1"/>
    <xf numFmtId="5" fontId="39" fillId="0" borderId="0" xfId="0" applyNumberFormat="1" applyFont="1"/>
    <xf numFmtId="5" fontId="40" fillId="0" borderId="0" xfId="0" applyNumberFormat="1" applyFont="1"/>
    <xf numFmtId="0" fontId="16" fillId="0" borderId="0" xfId="0" applyFont="1" applyAlignment="1">
      <alignment horizontal="left"/>
    </xf>
    <xf numFmtId="0" fontId="0" fillId="33" borderId="11" xfId="0" applyFill="1" applyBorder="1" applyAlignment="1">
      <alignment horizontal="left"/>
    </xf>
    <xf numFmtId="0" fontId="0" fillId="0" borderId="11" xfId="0" applyBorder="1" applyAlignment="1">
      <alignment horizontal="left"/>
    </xf>
    <xf numFmtId="0" fontId="16" fillId="33" borderId="11" xfId="0" applyFont="1" applyFill="1" applyBorder="1" applyAlignment="1">
      <alignment horizontal="left"/>
    </xf>
    <xf numFmtId="5" fontId="25" fillId="0" borderId="0" xfId="0" applyNumberFormat="1" applyFont="1" applyAlignment="1">
      <alignment horizontal="center"/>
    </xf>
    <xf numFmtId="37" fontId="35" fillId="0" borderId="0" xfId="0" applyNumberFormat="1" applyFont="1"/>
    <xf numFmtId="0" fontId="29" fillId="0" borderId="0" xfId="0" applyFont="1" applyAlignment="1">
      <alignment horizontal="right"/>
    </xf>
    <xf numFmtId="164" fontId="29" fillId="0" borderId="0" xfId="0" applyNumberFormat="1" applyFont="1"/>
    <xf numFmtId="44" fontId="0" fillId="0" borderId="0" xfId="42" applyFont="1" applyFill="1" applyBorder="1"/>
    <xf numFmtId="0" fontId="16" fillId="0" borderId="0" xfId="0" applyFont="1"/>
    <xf numFmtId="44" fontId="16" fillId="0" borderId="0" xfId="42" applyFont="1" applyFill="1" applyBorder="1"/>
    <xf numFmtId="44" fontId="0" fillId="0" borderId="0" xfId="42" applyFont="1" applyFill="1"/>
    <xf numFmtId="44" fontId="0" fillId="0" borderId="0" xfId="42" applyFont="1" applyFill="1" applyProtection="1"/>
    <xf numFmtId="0" fontId="25" fillId="0" borderId="0" xfId="0" applyFont="1" applyAlignment="1">
      <alignment horizontal="center"/>
    </xf>
    <xf numFmtId="0" fontId="0" fillId="0" borderId="16" xfId="0" applyBorder="1"/>
    <xf numFmtId="37" fontId="0" fillId="0" borderId="15" xfId="0" applyNumberFormat="1" applyBorder="1"/>
    <xf numFmtId="44" fontId="0" fillId="0" borderId="0" xfId="42" applyFont="1"/>
    <xf numFmtId="37" fontId="0" fillId="0" borderId="13" xfId="0" applyNumberFormat="1" applyBorder="1" applyAlignment="1">
      <alignment horizontal="left"/>
    </xf>
    <xf numFmtId="164" fontId="0" fillId="34" borderId="11" xfId="0" applyNumberFormat="1" applyFill="1" applyBorder="1"/>
    <xf numFmtId="164" fontId="41" fillId="0" borderId="0" xfId="43" applyNumberFormat="1"/>
    <xf numFmtId="0" fontId="41" fillId="0" borderId="0" xfId="43"/>
    <xf numFmtId="0" fontId="42" fillId="0" borderId="0" xfId="43" applyFont="1"/>
    <xf numFmtId="165" fontId="42" fillId="0" borderId="0" xfId="43" applyNumberFormat="1" applyFont="1"/>
    <xf numFmtId="165" fontId="41" fillId="0" borderId="0" xfId="43" applyNumberFormat="1"/>
    <xf numFmtId="5" fontId="41" fillId="0" borderId="0" xfId="43" applyNumberFormat="1"/>
    <xf numFmtId="3" fontId="0" fillId="0" borderId="0" xfId="0" applyNumberFormat="1"/>
    <xf numFmtId="3" fontId="41" fillId="0" borderId="0" xfId="43" applyNumberFormat="1"/>
    <xf numFmtId="44" fontId="34" fillId="0" borderId="0" xfId="0" applyNumberFormat="1" applyFont="1"/>
    <xf numFmtId="166" fontId="0" fillId="0" borderId="0" xfId="0" applyNumberFormat="1"/>
    <xf numFmtId="5" fontId="0" fillId="0" borderId="0" xfId="42" applyNumberFormat="1" applyFont="1" applyFill="1" applyProtection="1"/>
    <xf numFmtId="44" fontId="44" fillId="0" borderId="0" xfId="42" applyFont="1" applyFill="1" applyProtection="1"/>
    <xf numFmtId="0" fontId="45" fillId="0" borderId="11" xfId="0" applyFont="1" applyBorder="1"/>
    <xf numFmtId="0" fontId="45" fillId="0" borderId="11" xfId="0" applyFont="1" applyBorder="1" applyAlignment="1">
      <alignment horizontal="left"/>
    </xf>
    <xf numFmtId="9" fontId="0" fillId="0" borderId="12" xfId="0" applyNumberFormat="1" applyBorder="1"/>
    <xf numFmtId="164" fontId="0" fillId="0" borderId="12" xfId="0" applyNumberFormat="1" applyBorder="1"/>
    <xf numFmtId="0" fontId="46" fillId="0" borderId="0" xfId="0" applyFont="1"/>
    <xf numFmtId="164" fontId="46" fillId="0" borderId="0" xfId="0" applyNumberFormat="1" applyFont="1"/>
    <xf numFmtId="0" fontId="16" fillId="0" borderId="11" xfId="0" applyFont="1" applyBorder="1"/>
    <xf numFmtId="167" fontId="0" fillId="0" borderId="12" xfId="42" applyNumberFormat="1" applyFont="1" applyFill="1" applyBorder="1"/>
    <xf numFmtId="0" fontId="0" fillId="34" borderId="11" xfId="0" applyFill="1" applyBorder="1"/>
    <xf numFmtId="0" fontId="0" fillId="35" borderId="11" xfId="0" applyFill="1" applyBorder="1"/>
    <xf numFmtId="0" fontId="0" fillId="36" borderId="0" xfId="0" applyFill="1"/>
    <xf numFmtId="0" fontId="0" fillId="36" borderId="11" xfId="0" applyFill="1" applyBorder="1"/>
    <xf numFmtId="0" fontId="16" fillId="33" borderId="0" xfId="0" applyFont="1" applyFill="1"/>
    <xf numFmtId="0" fontId="40" fillId="0" borderId="0" xfId="0" applyFont="1"/>
    <xf numFmtId="164" fontId="40" fillId="0" borderId="0" xfId="0" applyNumberFormat="1" applyFont="1"/>
    <xf numFmtId="164" fontId="16" fillId="0" borderId="0" xfId="0" applyNumberFormat="1" applyFont="1" applyAlignment="1">
      <alignment horizontal="center"/>
    </xf>
    <xf numFmtId="167" fontId="0" fillId="0" borderId="0" xfId="42" applyNumberFormat="1" applyFont="1" applyFill="1"/>
    <xf numFmtId="167" fontId="45" fillId="0" borderId="0" xfId="42" applyNumberFormat="1" applyFont="1" applyFill="1"/>
    <xf numFmtId="167" fontId="16" fillId="0" borderId="0" xfId="42" applyNumberFormat="1" applyFont="1" applyFill="1"/>
    <xf numFmtId="0" fontId="0" fillId="0" borderId="0" xfId="0" applyAlignment="1">
      <alignment horizontal="right"/>
    </xf>
    <xf numFmtId="167" fontId="39" fillId="0" borderId="0" xfId="42" applyNumberFormat="1" applyFont="1" applyFill="1" applyBorder="1"/>
    <xf numFmtId="167" fontId="0" fillId="34" borderId="12" xfId="42" applyNumberFormat="1" applyFont="1" applyFill="1" applyBorder="1"/>
    <xf numFmtId="167" fontId="1" fillId="34" borderId="12" xfId="42" applyNumberFormat="1" applyFont="1" applyFill="1" applyBorder="1"/>
    <xf numFmtId="7" fontId="0" fillId="0" borderId="0" xfId="0" applyNumberFormat="1" applyAlignment="1">
      <alignment horizontal="centerContinuous"/>
    </xf>
    <xf numFmtId="164" fontId="0" fillId="0" borderId="19" xfId="42" applyNumberFormat="1" applyFont="1" applyBorder="1"/>
    <xf numFmtId="164" fontId="0" fillId="0" borderId="20" xfId="42" applyNumberFormat="1" applyFont="1" applyBorder="1"/>
    <xf numFmtId="164" fontId="0" fillId="0" borderId="20" xfId="42" applyNumberFormat="1" applyFont="1" applyFill="1" applyBorder="1"/>
    <xf numFmtId="167" fontId="0" fillId="0" borderId="0" xfId="0" applyNumberFormat="1"/>
    <xf numFmtId="167" fontId="39" fillId="0" borderId="0" xfId="0" applyNumberFormat="1" applyFont="1"/>
    <xf numFmtId="164" fontId="0" fillId="0" borderId="21" xfId="42" applyNumberFormat="1" applyFont="1" applyBorder="1"/>
    <xf numFmtId="0" fontId="24" fillId="0" borderId="0" xfId="0" applyFont="1" applyAlignment="1">
      <alignment horizontal="center"/>
    </xf>
    <xf numFmtId="167" fontId="0" fillId="0" borderId="0" xfId="42" applyNumberFormat="1" applyFont="1" applyBorder="1"/>
    <xf numFmtId="167" fontId="39" fillId="34" borderId="0" xfId="0" applyNumberFormat="1" applyFont="1" applyFill="1"/>
    <xf numFmtId="167" fontId="39" fillId="0" borderId="24" xfId="0" applyNumberFormat="1" applyFont="1" applyBorder="1"/>
    <xf numFmtId="167" fontId="0" fillId="0" borderId="22" xfId="42" applyNumberFormat="1" applyFont="1" applyFill="1" applyBorder="1"/>
    <xf numFmtId="168" fontId="0" fillId="0" borderId="0" xfId="44" applyNumberFormat="1" applyFont="1" applyAlignment="1">
      <alignment horizontal="left" indent="3"/>
    </xf>
    <xf numFmtId="167" fontId="16" fillId="34" borderId="12" xfId="42" applyNumberFormat="1" applyFont="1" applyFill="1" applyBorder="1"/>
    <xf numFmtId="164" fontId="0" fillId="34" borderId="17" xfId="0" applyNumberFormat="1" applyFill="1" applyBorder="1"/>
    <xf numFmtId="167" fontId="0" fillId="0" borderId="11" xfId="0" applyNumberFormat="1" applyBorder="1"/>
    <xf numFmtId="0" fontId="0" fillId="34" borderId="11" xfId="0" applyFill="1" applyBorder="1" applyAlignment="1">
      <alignment horizontal="left"/>
    </xf>
    <xf numFmtId="167" fontId="39" fillId="34" borderId="12" xfId="42" applyNumberFormat="1" applyFont="1" applyFill="1" applyBorder="1"/>
    <xf numFmtId="167" fontId="0" fillId="34" borderId="0" xfId="42" applyNumberFormat="1" applyFont="1" applyFill="1" applyBorder="1"/>
    <xf numFmtId="167" fontId="0" fillId="34" borderId="0" xfId="0" applyNumberFormat="1" applyFill="1"/>
    <xf numFmtId="167" fontId="48" fillId="34" borderId="14" xfId="0" applyNumberFormat="1" applyFont="1" applyFill="1" applyBorder="1"/>
    <xf numFmtId="0" fontId="49" fillId="0" borderId="0" xfId="0" applyFont="1"/>
    <xf numFmtId="0" fontId="50" fillId="0" borderId="0" xfId="0" applyFont="1" applyAlignment="1">
      <alignment horizontal="left"/>
    </xf>
    <xf numFmtId="167" fontId="1" fillId="0" borderId="0" xfId="42" applyNumberFormat="1" applyFont="1" applyFill="1" applyProtection="1"/>
    <xf numFmtId="167" fontId="1" fillId="0" borderId="0" xfId="42" applyNumberFormat="1" applyFont="1" applyFill="1"/>
    <xf numFmtId="167" fontId="1" fillId="34" borderId="0" xfId="42" applyNumberFormat="1" applyFont="1" applyFill="1"/>
    <xf numFmtId="167" fontId="1" fillId="0" borderId="0" xfId="0" applyNumberFormat="1" applyFont="1"/>
    <xf numFmtId="167" fontId="0" fillId="34" borderId="11" xfId="0" applyNumberFormat="1" applyFill="1" applyBorder="1"/>
    <xf numFmtId="167" fontId="46" fillId="34" borderId="17" xfId="0" applyNumberFormat="1" applyFont="1" applyFill="1" applyBorder="1"/>
    <xf numFmtId="167" fontId="40" fillId="34" borderId="17" xfId="0" applyNumberFormat="1" applyFont="1" applyFill="1" applyBorder="1"/>
    <xf numFmtId="167" fontId="46" fillId="34" borderId="18" xfId="0" applyNumberFormat="1" applyFont="1" applyFill="1" applyBorder="1"/>
    <xf numFmtId="0" fontId="45" fillId="34" borderId="11" xfId="0" applyFont="1" applyFill="1" applyBorder="1"/>
    <xf numFmtId="167" fontId="14" fillId="34" borderId="12" xfId="42" applyNumberFormat="1" applyFont="1" applyFill="1" applyBorder="1"/>
    <xf numFmtId="167" fontId="0" fillId="0" borderId="10" xfId="0" applyNumberFormat="1" applyBorder="1"/>
    <xf numFmtId="167" fontId="48" fillId="34" borderId="0" xfId="0" applyNumberFormat="1" applyFont="1" applyFill="1"/>
    <xf numFmtId="44" fontId="0" fillId="34" borderId="0" xfId="42" applyFont="1" applyFill="1" applyProtection="1"/>
    <xf numFmtId="0" fontId="0" fillId="34" borderId="0" xfId="0" applyFill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167" fontId="39" fillId="38" borderId="0" xfId="0" applyNumberFormat="1" applyFont="1" applyFill="1"/>
    <xf numFmtId="167" fontId="0" fillId="38" borderId="0" xfId="42" applyNumberFormat="1" applyFont="1" applyFill="1" applyBorder="1"/>
    <xf numFmtId="167" fontId="0" fillId="38" borderId="0" xfId="0" applyNumberFormat="1" applyFill="1"/>
    <xf numFmtId="44" fontId="41" fillId="0" borderId="0" xfId="43" applyNumberFormat="1"/>
    <xf numFmtId="9" fontId="41" fillId="0" borderId="0" xfId="44" applyFont="1"/>
    <xf numFmtId="164" fontId="16" fillId="34" borderId="12" xfId="0" applyNumberFormat="1" applyFont="1" applyFill="1" applyBorder="1"/>
    <xf numFmtId="0" fontId="0" fillId="0" borderId="14" xfId="0" applyBorder="1"/>
    <xf numFmtId="10" fontId="39" fillId="0" borderId="0" xfId="0" applyNumberFormat="1" applyFont="1"/>
    <xf numFmtId="10" fontId="0" fillId="0" borderId="0" xfId="0" applyNumberFormat="1"/>
    <xf numFmtId="44" fontId="0" fillId="34" borderId="0" xfId="0" applyNumberFormat="1" applyFill="1"/>
    <xf numFmtId="10" fontId="0" fillId="0" borderId="0" xfId="44" applyNumberFormat="1" applyFont="1"/>
    <xf numFmtId="44" fontId="0" fillId="34" borderId="11" xfId="0" applyNumberFormat="1" applyFill="1" applyBorder="1"/>
    <xf numFmtId="0" fontId="51" fillId="0" borderId="0" xfId="0" applyFont="1"/>
    <xf numFmtId="0" fontId="49" fillId="0" borderId="0" xfId="0" applyFont="1" applyAlignment="1">
      <alignment horizontal="left"/>
    </xf>
    <xf numFmtId="167" fontId="0" fillId="0" borderId="28" xfId="0" applyNumberFormat="1" applyBorder="1"/>
    <xf numFmtId="167" fontId="47" fillId="0" borderId="28" xfId="0" applyNumberFormat="1" applyFont="1" applyBorder="1"/>
    <xf numFmtId="167" fontId="1" fillId="0" borderId="28" xfId="42" applyNumberFormat="1" applyFont="1" applyFill="1" applyBorder="1" applyProtection="1"/>
    <xf numFmtId="167" fontId="43" fillId="0" borderId="14" xfId="42" applyNumberFormat="1" applyFont="1" applyFill="1" applyBorder="1"/>
    <xf numFmtId="167" fontId="0" fillId="0" borderId="14" xfId="0" applyNumberFormat="1" applyBorder="1" applyAlignment="1">
      <alignment horizontal="right" indent="1"/>
    </xf>
    <xf numFmtId="167" fontId="39" fillId="0" borderId="11" xfId="0" applyNumberFormat="1" applyFont="1" applyBorder="1"/>
    <xf numFmtId="0" fontId="0" fillId="0" borderId="11" xfId="0" applyBorder="1" applyAlignment="1">
      <alignment horizontal="center"/>
    </xf>
    <xf numFmtId="10" fontId="0" fillId="0" borderId="11" xfId="0" applyNumberFormat="1" applyBorder="1" applyAlignment="1">
      <alignment horizontal="right"/>
    </xf>
    <xf numFmtId="10" fontId="39" fillId="0" borderId="11" xfId="44" applyNumberFormat="1" applyFont="1" applyFill="1" applyBorder="1" applyAlignment="1">
      <alignment horizontal="right"/>
    </xf>
    <xf numFmtId="167" fontId="0" fillId="34" borderId="14" xfId="0" applyNumberFormat="1" applyFill="1" applyBorder="1"/>
    <xf numFmtId="10" fontId="16" fillId="0" borderId="0" xfId="0" applyNumberFormat="1" applyFont="1"/>
    <xf numFmtId="167" fontId="0" fillId="34" borderId="12" xfId="0" applyNumberFormat="1" applyFill="1" applyBorder="1"/>
    <xf numFmtId="44" fontId="52" fillId="0" borderId="0" xfId="0" applyNumberFormat="1" applyFont="1"/>
    <xf numFmtId="44" fontId="53" fillId="34" borderId="0" xfId="0" applyNumberFormat="1" applyFont="1" applyFill="1"/>
    <xf numFmtId="44" fontId="53" fillId="0" borderId="0" xfId="0" applyNumberFormat="1" applyFont="1"/>
    <xf numFmtId="44" fontId="53" fillId="0" borderId="0" xfId="0" applyNumberFormat="1" applyFont="1" applyAlignment="1">
      <alignment horizontal="left" vertical="center"/>
    </xf>
    <xf numFmtId="44" fontId="53" fillId="0" borderId="0" xfId="42" applyFont="1" applyFill="1" applyBorder="1"/>
    <xf numFmtId="164" fontId="53" fillId="34" borderId="11" xfId="0" applyNumberFormat="1" applyFont="1" applyFill="1" applyBorder="1" applyAlignment="1">
      <alignment horizontal="center" vertical="center"/>
    </xf>
    <xf numFmtId="164" fontId="53" fillId="0" borderId="11" xfId="0" applyNumberFormat="1" applyFont="1" applyBorder="1" applyAlignment="1">
      <alignment horizontal="center" vertical="center"/>
    </xf>
    <xf numFmtId="164" fontId="52" fillId="0" borderId="11" xfId="0" applyNumberFormat="1" applyFont="1" applyBorder="1" applyAlignment="1">
      <alignment horizontal="center" vertical="center"/>
    </xf>
    <xf numFmtId="164" fontId="53" fillId="0" borderId="30" xfId="0" applyNumberFormat="1" applyFont="1" applyBorder="1" applyAlignment="1">
      <alignment horizontal="center" vertical="center"/>
    </xf>
    <xf numFmtId="164" fontId="53" fillId="34" borderId="30" xfId="0" applyNumberFormat="1" applyFont="1" applyFill="1" applyBorder="1" applyAlignment="1">
      <alignment horizontal="center" vertical="center"/>
    </xf>
    <xf numFmtId="164" fontId="53" fillId="0" borderId="26" xfId="0" applyNumberFormat="1" applyFont="1" applyBorder="1" applyAlignment="1">
      <alignment horizontal="center" vertical="center"/>
    </xf>
    <xf numFmtId="164" fontId="53" fillId="34" borderId="26" xfId="0" applyNumberFormat="1" applyFont="1" applyFill="1" applyBorder="1" applyAlignment="1">
      <alignment horizontal="center" vertical="center"/>
    </xf>
    <xf numFmtId="44" fontId="14" fillId="34" borderId="11" xfId="0" applyNumberFormat="1" applyFont="1" applyFill="1" applyBorder="1"/>
    <xf numFmtId="0" fontId="54" fillId="34" borderId="11" xfId="0" applyFont="1" applyFill="1" applyBorder="1"/>
    <xf numFmtId="10" fontId="41" fillId="0" borderId="0" xfId="44" applyNumberFormat="1" applyFont="1"/>
    <xf numFmtId="0" fontId="0" fillId="34" borderId="11" xfId="0" applyFill="1" applyBorder="1" applyAlignment="1">
      <alignment wrapText="1"/>
    </xf>
    <xf numFmtId="0" fontId="16" fillId="0" borderId="31" xfId="0" applyFont="1" applyBorder="1"/>
    <xf numFmtId="167" fontId="16" fillId="0" borderId="29" xfId="0" applyNumberFormat="1" applyFont="1" applyBorder="1"/>
    <xf numFmtId="0" fontId="0" fillId="39" borderId="11" xfId="0" applyFill="1" applyBorder="1"/>
    <xf numFmtId="167" fontId="0" fillId="39" borderId="32" xfId="0" applyNumberFormat="1" applyFill="1" applyBorder="1"/>
    <xf numFmtId="167" fontId="16" fillId="0" borderId="11" xfId="0" applyNumberFormat="1" applyFont="1" applyBorder="1"/>
    <xf numFmtId="167" fontId="0" fillId="39" borderId="11" xfId="0" applyNumberFormat="1" applyFill="1" applyBorder="1"/>
    <xf numFmtId="0" fontId="0" fillId="0" borderId="33" xfId="0" applyBorder="1"/>
    <xf numFmtId="0" fontId="0" fillId="0" borderId="24" xfId="0" applyBorder="1"/>
    <xf numFmtId="167" fontId="16" fillId="0" borderId="33" xfId="0" applyNumberFormat="1" applyFont="1" applyBorder="1"/>
    <xf numFmtId="0" fontId="16" fillId="0" borderId="24" xfId="0" applyFont="1" applyBorder="1"/>
    <xf numFmtId="0" fontId="16" fillId="34" borderId="33" xfId="0" applyFont="1" applyFill="1" applyBorder="1" applyAlignment="1">
      <alignment horizontal="right"/>
    </xf>
    <xf numFmtId="167" fontId="0" fillId="0" borderId="26" xfId="0" applyNumberFormat="1" applyBorder="1"/>
    <xf numFmtId="167" fontId="0" fillId="0" borderId="33" xfId="0" applyNumberFormat="1" applyBorder="1"/>
    <xf numFmtId="167" fontId="16" fillId="0" borderId="32" xfId="42" applyNumberFormat="1" applyFont="1" applyBorder="1"/>
    <xf numFmtId="0" fontId="16" fillId="0" borderId="34" xfId="0" applyFont="1" applyBorder="1" applyAlignment="1">
      <alignment horizontal="right"/>
    </xf>
    <xf numFmtId="167" fontId="16" fillId="0" borderId="35" xfId="0" applyNumberFormat="1" applyFont="1" applyBorder="1"/>
    <xf numFmtId="167" fontId="16" fillId="40" borderId="34" xfId="0" applyNumberFormat="1" applyFont="1" applyFill="1" applyBorder="1"/>
    <xf numFmtId="0" fontId="16" fillId="40" borderId="23" xfId="0" applyFont="1" applyFill="1" applyBorder="1"/>
    <xf numFmtId="167" fontId="0" fillId="34" borderId="32" xfId="0" applyNumberFormat="1" applyFill="1" applyBorder="1"/>
    <xf numFmtId="167" fontId="0" fillId="39" borderId="0" xfId="0" applyNumberFormat="1" applyFill="1"/>
    <xf numFmtId="167" fontId="30" fillId="0" borderId="0" xfId="0" applyNumberFormat="1" applyFont="1"/>
    <xf numFmtId="167" fontId="32" fillId="0" borderId="0" xfId="0" applyNumberFormat="1" applyFont="1"/>
    <xf numFmtId="0" fontId="0" fillId="34" borderId="0" xfId="0" applyFill="1" applyAlignment="1">
      <alignment horizontal="center"/>
    </xf>
    <xf numFmtId="44" fontId="14" fillId="34" borderId="11" xfId="42" applyFont="1" applyFill="1" applyBorder="1" applyAlignment="1">
      <alignment horizontal="center"/>
    </xf>
    <xf numFmtId="44" fontId="14" fillId="34" borderId="0" xfId="0" applyNumberFormat="1" applyFont="1" applyFill="1"/>
    <xf numFmtId="164" fontId="16" fillId="34" borderId="17" xfId="0" applyNumberFormat="1" applyFont="1" applyFill="1" applyBorder="1"/>
    <xf numFmtId="164" fontId="46" fillId="34" borderId="17" xfId="0" applyNumberFormat="1" applyFont="1" applyFill="1" applyBorder="1"/>
    <xf numFmtId="0" fontId="0" fillId="34" borderId="0" xfId="0" applyFill="1" applyAlignment="1">
      <alignment horizontal="left"/>
    </xf>
    <xf numFmtId="164" fontId="40" fillId="34" borderId="0" xfId="0" applyNumberFormat="1" applyFont="1" applyFill="1"/>
    <xf numFmtId="164" fontId="46" fillId="34" borderId="0" xfId="0" applyNumberFormat="1" applyFont="1" applyFill="1"/>
    <xf numFmtId="164" fontId="0" fillId="34" borderId="0" xfId="0" applyNumberFormat="1" applyFill="1"/>
    <xf numFmtId="10" fontId="0" fillId="34" borderId="12" xfId="0" applyNumberFormat="1" applyFill="1" applyBorder="1"/>
    <xf numFmtId="164" fontId="0" fillId="34" borderId="12" xfId="0" applyNumberFormat="1" applyFill="1" applyBorder="1"/>
    <xf numFmtId="167" fontId="40" fillId="34" borderId="18" xfId="0" applyNumberFormat="1" applyFont="1" applyFill="1" applyBorder="1"/>
    <xf numFmtId="167" fontId="41" fillId="0" borderId="0" xfId="43" applyNumberFormat="1"/>
    <xf numFmtId="0" fontId="0" fillId="0" borderId="36" xfId="0" applyBorder="1"/>
    <xf numFmtId="37" fontId="0" fillId="0" borderId="36" xfId="0" applyNumberFormat="1" applyBorder="1" applyAlignment="1">
      <alignment horizontal="right"/>
    </xf>
    <xf numFmtId="37" fontId="0" fillId="0" borderId="37" xfId="0" applyNumberFormat="1" applyBorder="1"/>
    <xf numFmtId="37" fontId="0" fillId="0" borderId="11" xfId="0" applyNumberFormat="1" applyBorder="1"/>
    <xf numFmtId="9" fontId="0" fillId="33" borderId="11" xfId="0" applyNumberFormat="1" applyFill="1" applyBorder="1"/>
    <xf numFmtId="10" fontId="0" fillId="0" borderId="12" xfId="0" applyNumberFormat="1" applyBorder="1"/>
    <xf numFmtId="164" fontId="0" fillId="0" borderId="17" xfId="0" applyNumberFormat="1" applyBorder="1"/>
    <xf numFmtId="164" fontId="0" fillId="0" borderId="11" xfId="0" applyNumberFormat="1" applyBorder="1"/>
    <xf numFmtId="167" fontId="0" fillId="0" borderId="38" xfId="0" applyNumberFormat="1" applyBorder="1"/>
    <xf numFmtId="10" fontId="0" fillId="33" borderId="12" xfId="44" applyNumberFormat="1" applyFont="1" applyFill="1" applyBorder="1"/>
    <xf numFmtId="164" fontId="16" fillId="33" borderId="11" xfId="0" applyNumberFormat="1" applyFont="1" applyFill="1" applyBorder="1"/>
    <xf numFmtId="167" fontId="0" fillId="0" borderId="12" xfId="42" applyNumberFormat="1" applyFont="1" applyBorder="1"/>
    <xf numFmtId="167" fontId="0" fillId="33" borderId="12" xfId="42" applyNumberFormat="1" applyFont="1" applyFill="1" applyBorder="1"/>
    <xf numFmtId="167" fontId="0" fillId="37" borderId="12" xfId="42" applyNumberFormat="1" applyFont="1" applyFill="1" applyBorder="1"/>
    <xf numFmtId="167" fontId="0" fillId="34" borderId="11" xfId="42" applyNumberFormat="1" applyFont="1" applyFill="1" applyBorder="1"/>
    <xf numFmtId="167" fontId="0" fillId="36" borderId="12" xfId="42" applyNumberFormat="1" applyFont="1" applyFill="1" applyBorder="1"/>
    <xf numFmtId="167" fontId="16" fillId="0" borderId="12" xfId="42" applyNumberFormat="1" applyFont="1" applyFill="1" applyBorder="1"/>
    <xf numFmtId="164" fontId="16" fillId="0" borderId="17" xfId="0" applyNumberFormat="1" applyFont="1" applyBorder="1"/>
    <xf numFmtId="10" fontId="0" fillId="33" borderId="12" xfId="0" applyNumberFormat="1" applyFill="1" applyBorder="1"/>
    <xf numFmtId="9" fontId="0" fillId="0" borderId="12" xfId="44" applyFont="1" applyFill="1" applyBorder="1"/>
    <xf numFmtId="9" fontId="0" fillId="33" borderId="12" xfId="44" applyFont="1" applyFill="1" applyBorder="1"/>
    <xf numFmtId="9" fontId="0" fillId="34" borderId="12" xfId="44" applyFont="1" applyFill="1" applyBorder="1"/>
    <xf numFmtId="9" fontId="0" fillId="37" borderId="12" xfId="44" applyFont="1" applyFill="1" applyBorder="1"/>
    <xf numFmtId="44" fontId="0" fillId="34" borderId="12" xfId="44" applyNumberFormat="1" applyFont="1" applyFill="1" applyBorder="1"/>
    <xf numFmtId="44" fontId="0" fillId="33" borderId="12" xfId="44" applyNumberFormat="1" applyFont="1" applyFill="1" applyBorder="1"/>
    <xf numFmtId="9" fontId="0" fillId="34" borderId="11" xfId="44" applyFont="1" applyFill="1" applyBorder="1"/>
    <xf numFmtId="9" fontId="1" fillId="34" borderId="12" xfId="44" applyFont="1" applyFill="1" applyBorder="1"/>
    <xf numFmtId="164" fontId="0" fillId="33" borderId="12" xfId="0" applyNumberFormat="1" applyFill="1" applyBorder="1"/>
    <xf numFmtId="9" fontId="1" fillId="33" borderId="12" xfId="44" applyFont="1" applyFill="1" applyBorder="1"/>
    <xf numFmtId="9" fontId="16" fillId="0" borderId="12" xfId="44" applyFont="1" applyFill="1" applyBorder="1"/>
    <xf numFmtId="9" fontId="0" fillId="0" borderId="12" xfId="44" applyFont="1" applyBorder="1"/>
    <xf numFmtId="164" fontId="0" fillId="37" borderId="12" xfId="0" applyNumberFormat="1" applyFill="1" applyBorder="1"/>
    <xf numFmtId="9" fontId="1" fillId="37" borderId="12" xfId="44" applyFont="1" applyFill="1" applyBorder="1"/>
    <xf numFmtId="9" fontId="0" fillId="0" borderId="17" xfId="44" applyFont="1" applyBorder="1"/>
    <xf numFmtId="9" fontId="16" fillId="0" borderId="17" xfId="44" applyFont="1" applyBorder="1"/>
    <xf numFmtId="9" fontId="0" fillId="36" borderId="12" xfId="44" applyFont="1" applyFill="1" applyBorder="1"/>
    <xf numFmtId="44" fontId="0" fillId="34" borderId="12" xfId="42" applyFont="1" applyFill="1" applyBorder="1"/>
    <xf numFmtId="44" fontId="0" fillId="0" borderId="11" xfId="0" applyNumberFormat="1" applyBorder="1"/>
    <xf numFmtId="167" fontId="41" fillId="0" borderId="0" xfId="42" applyNumberFormat="1" applyFont="1"/>
    <xf numFmtId="164" fontId="41" fillId="0" borderId="14" xfId="43" applyNumberFormat="1" applyBorder="1"/>
    <xf numFmtId="167" fontId="41" fillId="0" borderId="14" xfId="43" applyNumberFormat="1" applyBorder="1"/>
    <xf numFmtId="10" fontId="41" fillId="0" borderId="14" xfId="44" applyNumberFormat="1" applyFont="1" applyBorder="1"/>
    <xf numFmtId="4" fontId="41" fillId="0" borderId="0" xfId="43" applyNumberFormat="1"/>
    <xf numFmtId="167" fontId="1" fillId="0" borderId="12" xfId="42" applyNumberFormat="1" applyFont="1" applyFill="1" applyBorder="1"/>
    <xf numFmtId="167" fontId="1" fillId="0" borderId="24" xfId="42" applyNumberFormat="1" applyFont="1" applyFill="1" applyBorder="1"/>
    <xf numFmtId="0" fontId="0" fillId="41" borderId="0" xfId="0" applyFill="1"/>
    <xf numFmtId="10" fontId="16" fillId="34" borderId="12" xfId="44" applyNumberFormat="1" applyFont="1" applyFill="1" applyBorder="1"/>
    <xf numFmtId="167" fontId="0" fillId="0" borderId="0" xfId="0" applyNumberFormat="1" applyAlignment="1">
      <alignment horizontal="centerContinuous"/>
    </xf>
    <xf numFmtId="167" fontId="0" fillId="34" borderId="11" xfId="44" applyNumberFormat="1" applyFont="1" applyFill="1" applyBorder="1"/>
    <xf numFmtId="10" fontId="0" fillId="34" borderId="11" xfId="0" applyNumberFormat="1" applyFill="1" applyBorder="1"/>
    <xf numFmtId="167" fontId="39" fillId="0" borderId="0" xfId="44" applyNumberFormat="1" applyFont="1"/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00000000-0005-0000-0000-000026000000}"/>
    <cellStyle name="Note" xfId="15" builtinId="10" customBuiltin="1"/>
    <cellStyle name="Output" xfId="10" builtinId="21" customBuiltin="1"/>
    <cellStyle name="Percent" xfId="44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BC5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FY 2027</a:t>
            </a:r>
          </a:p>
          <a:p>
            <a:pPr>
              <a:defRPr/>
            </a:pPr>
            <a:r>
              <a:rPr lang="en-US"/>
              <a:t> Budget Distribution</a:t>
            </a:r>
          </a:p>
        </c:rich>
      </c:tx>
      <c:layout>
        <c:manualLayout>
          <c:xMode val="edge"/>
          <c:yMode val="edge"/>
          <c:x val="0.63243177581185417"/>
          <c:y val="0.683156281443709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B3E4-4AAD-B2A5-5B468AB8029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3E4-4AAD-B2A5-5B468AB80298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34A-43A2-9573-0876FA792E1C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B3E4-4AAD-B2A5-5B468AB80298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3E4-4AAD-B2A5-5B468AB80298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3E4-4AAD-B2A5-5B468AB80298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B3E4-4AAD-B2A5-5B468AB80298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3E4-4AAD-B2A5-5B468AB80298}"/>
              </c:ext>
            </c:extLst>
          </c:dPt>
          <c:dLbls>
            <c:dLbl>
              <c:idx val="0"/>
              <c:layout>
                <c:manualLayout>
                  <c:x val="1.4353449744277675E-2"/>
                  <c:y val="-0.14098430165387826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E4-4AAD-B2A5-5B468AB80298}"/>
                </c:ext>
              </c:extLst>
            </c:dLbl>
            <c:dLbl>
              <c:idx val="1"/>
              <c:layout>
                <c:manualLayout>
                  <c:x val="0.12786530299995311"/>
                  <c:y val="-6.064500044778251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E4-4AAD-B2A5-5B468AB80298}"/>
                </c:ext>
              </c:extLst>
            </c:dLbl>
            <c:dLbl>
              <c:idx val="2"/>
              <c:layout>
                <c:manualLayout>
                  <c:x val="-0.24002718131716852"/>
                  <c:y val="-1.536983204525265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4A-43A2-9573-0876FA792E1C}"/>
                </c:ext>
              </c:extLst>
            </c:dLbl>
            <c:dLbl>
              <c:idx val="3"/>
              <c:layout>
                <c:manualLayout>
                  <c:x val="-0.13599034622245698"/>
                  <c:y val="3.81897968519678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E4-4AAD-B2A5-5B468AB80298}"/>
                </c:ext>
              </c:extLst>
            </c:dLbl>
            <c:dLbl>
              <c:idx val="4"/>
              <c:layout>
                <c:manualLayout>
                  <c:x val="-0.14558499026338825"/>
                  <c:y val="-6.8772830075062566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3E4-4AAD-B2A5-5B468AB80298}"/>
                </c:ext>
              </c:extLst>
            </c:dLbl>
            <c:dLbl>
              <c:idx val="5"/>
              <c:layout>
                <c:manualLayout>
                  <c:x val="-0.14148400462216604"/>
                  <c:y val="-7.221147157881568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E4-4AAD-B2A5-5B468AB80298}"/>
                </c:ext>
              </c:extLst>
            </c:dLbl>
            <c:dLbl>
              <c:idx val="6"/>
              <c:layout>
                <c:manualLayout>
                  <c:x val="-0.14353449744277713"/>
                  <c:y val="-0.12722973563886578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E4-4AAD-B2A5-5B468AB80298}"/>
                </c:ext>
              </c:extLst>
            </c:dLbl>
            <c:dLbl>
              <c:idx val="7"/>
              <c:layout>
                <c:manualLayout>
                  <c:x val="-0.1025246410305551"/>
                  <c:y val="-0.14786158466138455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E4-4AAD-B2A5-5B468AB802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'Budget Distribution'!$B$6:$B$13</c:f>
              <c:strCache>
                <c:ptCount val="8"/>
                <c:pt idx="0">
                  <c:v>100 General Government</c:v>
                </c:pt>
                <c:pt idx="1">
                  <c:v>200 Public Safety</c:v>
                </c:pt>
                <c:pt idx="2">
                  <c:v>300 Education</c:v>
                </c:pt>
                <c:pt idx="3">
                  <c:v>400 Public Works</c:v>
                </c:pt>
                <c:pt idx="4">
                  <c:v>500 Human Services</c:v>
                </c:pt>
                <c:pt idx="5">
                  <c:v>600 Culture and Recreation</c:v>
                </c:pt>
                <c:pt idx="6">
                  <c:v>700 Debt Service</c:v>
                </c:pt>
                <c:pt idx="7">
                  <c:v>900 Unclassified/Miscellaneous</c:v>
                </c:pt>
              </c:strCache>
            </c:strRef>
          </c:cat>
          <c:val>
            <c:numRef>
              <c:f>'Budget Distribution'!$C$6:$C$13</c:f>
              <c:numCache>
                <c:formatCode>_("$"* #,##0_);_("$"* \(#,##0\);_("$"* "-"??_);_(@_)</c:formatCode>
                <c:ptCount val="8"/>
                <c:pt idx="0">
                  <c:v>1034573.19</c:v>
                </c:pt>
                <c:pt idx="1">
                  <c:v>4082104.26</c:v>
                </c:pt>
                <c:pt idx="2">
                  <c:v>17664612</c:v>
                </c:pt>
                <c:pt idx="3">
                  <c:v>1185430</c:v>
                </c:pt>
                <c:pt idx="4">
                  <c:v>128915</c:v>
                </c:pt>
                <c:pt idx="5">
                  <c:v>188879</c:v>
                </c:pt>
                <c:pt idx="6">
                  <c:v>3867342</c:v>
                </c:pt>
                <c:pt idx="7">
                  <c:v>2265273.9699999997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E4-4AAD-B2A5-5B468AB8029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FY2026 Town Of Berkley Revenue Sources</a:t>
            </a:r>
          </a:p>
          <a:p>
            <a:pPr>
              <a:defRPr/>
            </a:pPr>
            <a:r>
              <a:rPr lang="en-US"/>
              <a:t>(Based on Senate Way and Means FY26 Proposed Budget)</a:t>
            </a:r>
          </a:p>
        </c:rich>
      </c:tx>
      <c:layout>
        <c:manualLayout>
          <c:xMode val="edge"/>
          <c:yMode val="edge"/>
          <c:x val="0.33055171538672173"/>
          <c:y val="2.4000091476501093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3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176328936081688"/>
          <c:y val="0.18280435049604937"/>
          <c:w val="0.79968478827853329"/>
          <c:h val="0.78331127371105957"/>
        </c:manualLayout>
      </c:layout>
      <c:pie3DChart>
        <c:varyColors val="1"/>
        <c:ser>
          <c:idx val="0"/>
          <c:order val="0"/>
          <c:explosion val="21"/>
          <c:dPt>
            <c:idx val="0"/>
            <c:bubble3D val="0"/>
            <c:explosion val="19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32FE-43C3-B007-A6F294998072}"/>
              </c:ext>
            </c:extLst>
          </c:dPt>
          <c:dPt>
            <c:idx val="1"/>
            <c:bubble3D val="0"/>
            <c:explosion val="18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32FE-43C3-B007-A6F294998072}"/>
              </c:ext>
            </c:extLst>
          </c:dPt>
          <c:dPt>
            <c:idx val="2"/>
            <c:bubble3D val="0"/>
            <c:explosion val="15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32FE-43C3-B007-A6F294998072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32FE-43C3-B007-A6F294998072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48FF-4812-B366-7D68FA9DCA2A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48FF-4812-B366-7D68FA9DCA2A}"/>
              </c:ext>
            </c:extLst>
          </c:dPt>
          <c:dLbls>
            <c:dLbl>
              <c:idx val="0"/>
              <c:layout>
                <c:manualLayout>
                  <c:x val="-6.3778444632531683E-2"/>
                  <c:y val="-0.2542232654193789"/>
                </c:manualLayout>
              </c:layout>
              <c:tx>
                <c:rich>
                  <a:bodyPr/>
                  <a:lstStyle/>
                  <a:p>
                    <a:fld id="{D4BA6A96-1103-4552-99E6-EA477F460960}" type="CATEGORYNAME">
                      <a:rPr lang="en-US"/>
                      <a:pPr/>
                      <a:t>[]</a:t>
                    </a:fld>
                    <a:endParaRPr lang="en-US" baseline="0"/>
                  </a:p>
                  <a:p>
                    <a:fld id="{0EADA14D-7F96-4F34-BC62-82A575C652B8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, </a:t>
                    </a:r>
                    <a:fld id="{148234B6-327C-40B6-8658-4A6E9C630E45}" type="PERCENTAGE">
                      <a:rPr lang="en-US" baseline="0"/>
                      <a:pPr/>
                      <a:t>[]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2FE-43C3-B007-A6F294998072}"/>
                </c:ext>
              </c:extLst>
            </c:dLbl>
            <c:dLbl>
              <c:idx val="1"/>
              <c:layout>
                <c:manualLayout>
                  <c:x val="-5.4764164251455538E-3"/>
                  <c:y val="0.12749482571177737"/>
                </c:manualLayout>
              </c:layout>
              <c:tx>
                <c:rich>
                  <a:bodyPr/>
                  <a:lstStyle/>
                  <a:p>
                    <a:fld id="{69D585EC-19E3-48C0-B9DA-32B995D8685C}" type="CATEGORYNAME">
                      <a:rPr lang="en-US"/>
                      <a:pPr/>
                      <a:t>[]</a:t>
                    </a:fld>
                    <a:endParaRPr lang="en-US" baseline="0"/>
                  </a:p>
                  <a:p>
                    <a:fld id="{AD44E899-B814-43C3-BC23-B30792F7BCFB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, </a:t>
                    </a:r>
                    <a:fld id="{4BAFD48D-B74E-412E-8B26-8636C0B5B492}" type="PERCENTAGE">
                      <a:rPr lang="en-US" baseline="0"/>
                      <a:pPr/>
                      <a:t>[]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2FE-43C3-B007-A6F294998072}"/>
                </c:ext>
              </c:extLst>
            </c:dLbl>
            <c:dLbl>
              <c:idx val="2"/>
              <c:layout>
                <c:manualLayout>
                  <c:x val="-6.7576552930883646E-2"/>
                  <c:y val="-5.2716694641939253E-2"/>
                </c:manualLayout>
              </c:layout>
              <c:tx>
                <c:rich>
                  <a:bodyPr/>
                  <a:lstStyle/>
                  <a:p>
                    <a:fld id="{EE123DD0-ECE6-4594-9061-D3AFE56C383B}" type="CATEGORYNAME">
                      <a:rPr lang="en-US"/>
                      <a:pPr/>
                      <a:t>[]</a:t>
                    </a:fld>
                    <a:endParaRPr lang="en-US" baseline="0"/>
                  </a:p>
                  <a:p>
                    <a:fld id="{E804216B-08F4-4417-BBED-A66E1AFA031E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, </a:t>
                    </a:r>
                    <a:fld id="{E36CC65F-B5E0-4D0B-AFAE-E01AB922FA7E}" type="PERCENTAGE">
                      <a:rPr lang="en-US" baseline="0"/>
                      <a:pPr/>
                      <a:t>[]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32FE-43C3-B007-A6F294998072}"/>
                </c:ext>
              </c:extLst>
            </c:dLbl>
            <c:dLbl>
              <c:idx val="3"/>
              <c:layout>
                <c:manualLayout>
                  <c:x val="-6.2269073043394005E-2"/>
                  <c:y val="-7.6801266392827416E-2"/>
                </c:manualLayout>
              </c:layout>
              <c:tx>
                <c:rich>
                  <a:bodyPr/>
                  <a:lstStyle/>
                  <a:p>
                    <a:fld id="{43DA3185-17EE-42D5-A544-FFF93C013F62}" type="CATEGORYNAME">
                      <a:rPr lang="en-US"/>
                      <a:pPr/>
                      <a:t>[]</a:t>
                    </a:fld>
                    <a:endParaRPr lang="en-US"/>
                  </a:p>
                  <a:p>
                    <a:fld id="{10D0101A-FA6F-44F3-B90E-F7B1C4FF5D19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, </a:t>
                    </a:r>
                    <a:fld id="{DDC9ADAF-9525-4AF9-A0B5-853DFA8ECA89}" type="PERCENTAGE">
                      <a:rPr lang="en-US" baseline="0"/>
                      <a:pPr/>
                      <a:t>[]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32FE-43C3-B007-A6F2949980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Sources'!$A$3:$A$8</c:f>
              <c:strCache>
                <c:ptCount val="6"/>
                <c:pt idx="0">
                  <c:v>Taxation</c:v>
                </c:pt>
                <c:pt idx="1">
                  <c:v>State Aid</c:v>
                </c:pt>
                <c:pt idx="2">
                  <c:v>Local Receipts</c:v>
                </c:pt>
                <c:pt idx="3">
                  <c:v>SBRHS Stabilization</c:v>
                </c:pt>
                <c:pt idx="4">
                  <c:v>EMS Receipts</c:v>
                </c:pt>
                <c:pt idx="5">
                  <c:v>Non Recurring</c:v>
                </c:pt>
              </c:strCache>
            </c:strRef>
          </c:cat>
          <c:val>
            <c:numRef>
              <c:f>'Revenue Sources'!$B$3:$B$8</c:f>
              <c:numCache>
                <c:formatCode>"$"#,##0_);\("$"#,##0\)</c:formatCode>
                <c:ptCount val="6"/>
                <c:pt idx="0" formatCode="_(&quot;$&quot;* #,##0.00_);_(&quot;$&quot;* \(#,##0.00\);_(&quot;$&quot;* &quot;-&quot;??_);_(@_)">
                  <c:v>16975054.800175004</c:v>
                </c:pt>
                <c:pt idx="1">
                  <c:v>6474158</c:v>
                </c:pt>
                <c:pt idx="2">
                  <c:v>1862232.6</c:v>
                </c:pt>
                <c:pt idx="3">
                  <c:v>3123111</c:v>
                </c:pt>
                <c:pt idx="4">
                  <c:v>485000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2FE-43C3-B007-A6F294998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11" l="0.70000000000000062" r="0.70000000000000062" t="0.75000000000000111" header="0.30000000000000032" footer="0.30000000000000032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16666</xdr:colOff>
      <xdr:row>18</xdr:row>
      <xdr:rowOff>7143</xdr:rowOff>
    </xdr:from>
    <xdr:to>
      <xdr:col>5</xdr:col>
      <xdr:colOff>614362</xdr:colOff>
      <xdr:row>43</xdr:row>
      <xdr:rowOff>138113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1B8BE96-0137-CD9B-131A-226B2902A6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638175</xdr:colOff>
      <xdr:row>11</xdr:row>
      <xdr:rowOff>95250</xdr:rowOff>
    </xdr:from>
    <xdr:to>
      <xdr:col>12</xdr:col>
      <xdr:colOff>819150</xdr:colOff>
      <xdr:row>45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9CD4E87-0E59-4118-A299-4918B0F57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\cdoane\mydocs\CLD\FY%2016%20BUDGET\FY%202016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s"/>
      <sheetName val="reserve fund "/>
      <sheetName val="town meeting"/>
      <sheetName val="moderator"/>
      <sheetName val="selectmen"/>
      <sheetName val="finance"/>
      <sheetName val="dir of finance"/>
      <sheetName val="town accountant"/>
      <sheetName val="assessors"/>
      <sheetName val="town treasurer"/>
      <sheetName val="town collector"/>
      <sheetName val="town counsel"/>
      <sheetName val="data processing"/>
      <sheetName val="town clerk"/>
      <sheetName val="registrar of vo"/>
      <sheetName val="conservation"/>
      <sheetName val="soil board"/>
      <sheetName val="planning board"/>
      <sheetName val="board of appeal"/>
      <sheetName val="town buildings"/>
      <sheetName val="by_laws"/>
      <sheetName val="police departme"/>
      <sheetName val="fire department"/>
      <sheetName val="emergency medic"/>
      <sheetName val="building dept"/>
      <sheetName val="sealer weights "/>
      <sheetName val="emergency manag"/>
      <sheetName val="dog officer"/>
      <sheetName val="forestry"/>
      <sheetName val="regional school"/>
      <sheetName val="acushnet school"/>
      <sheetName val="dpw_highway"/>
      <sheetName val="gasoline"/>
      <sheetName val="snow removal"/>
      <sheetName val="street lights"/>
      <sheetName val="semass"/>
      <sheetName val="cemetery"/>
      <sheetName val="brd of health"/>
      <sheetName val="council on aging"/>
      <sheetName val="veterans"/>
      <sheetName val="library"/>
      <sheetName val="recreation"/>
      <sheetName val="park dept"/>
      <sheetName val="historical comm"/>
      <sheetName val="celebrations"/>
      <sheetName val="miscellaneous"/>
      <sheetName val="retire of debt"/>
      <sheetName val="interest"/>
      <sheetName val="pensions"/>
      <sheetName val="health insuranc"/>
      <sheetName val="liability insur"/>
      <sheetName val="workers comp"/>
      <sheetName val="unemploy comp"/>
      <sheetName val="dpw_water"/>
      <sheetName val="dpw_sewer"/>
      <sheetName val="golf ent."/>
      <sheetName val="final"/>
      <sheetName val="App. A TOTALS"/>
      <sheetName val="Operating Budget"/>
      <sheetName val="communicatios department "/>
    </sheetNames>
    <sheetDataSet>
      <sheetData sheetId="0" refreshError="1"/>
      <sheetData sheetId="1" refreshError="1"/>
      <sheetData sheetId="2" refreshError="1">
        <row r="1">
          <cell r="A1" t="str">
            <v>DEPARTMENT NAME</v>
          </cell>
          <cell r="C1" t="str">
            <v>TOWN MEETING 1113</v>
          </cell>
        </row>
        <row r="5">
          <cell r="B5" t="str">
            <v>ACCOUNT NAME</v>
          </cell>
        </row>
      </sheetData>
      <sheetData sheetId="3" refreshError="1">
        <row r="1">
          <cell r="A1" t="str">
            <v>DEPARTMENT NAME</v>
          </cell>
        </row>
        <row r="11">
          <cell r="B11" t="str">
            <v>Total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A1" t="str">
            <v>DEPARTMENT NAME</v>
          </cell>
          <cell r="C1" t="str">
            <v>SOIL BOARD 1172</v>
          </cell>
        </row>
        <row r="5">
          <cell r="B5" t="str">
            <v>ACCOUNT NAME</v>
          </cell>
        </row>
      </sheetData>
      <sheetData sheetId="17" refreshError="1">
        <row r="1">
          <cell r="A1" t="str">
            <v>DEPARTMENT NAME</v>
          </cell>
          <cell r="C1" t="str">
            <v>PLANNING BOARD 1175</v>
          </cell>
        </row>
        <row r="5">
          <cell r="B5" t="str">
            <v>ACCOUNT NAME</v>
          </cell>
        </row>
      </sheetData>
      <sheetData sheetId="18" refreshError="1"/>
      <sheetData sheetId="19" refreshError="1">
        <row r="1">
          <cell r="A1" t="str">
            <v>DEPARTMENT NAME</v>
          </cell>
          <cell r="C1" t="str">
            <v>TOWN HALL COMPLEX 1192</v>
          </cell>
        </row>
        <row r="5">
          <cell r="B5" t="str">
            <v>ACCOUNT NAME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">
          <cell r="A1" t="str">
            <v>DEPARTMENT NAME</v>
          </cell>
          <cell r="C1" t="str">
            <v>ANIMAL CONTROL/DOG OFFICER 2292</v>
          </cell>
        </row>
        <row r="5">
          <cell r="B5" t="str">
            <v>ACCOUNT NAME</v>
          </cell>
        </row>
      </sheetData>
      <sheetData sheetId="28" refreshError="1"/>
      <sheetData sheetId="29" refreshError="1"/>
      <sheetData sheetId="30" refreshError="1">
        <row r="1">
          <cell r="A1" t="str">
            <v>DEPARTMENT NAME</v>
          </cell>
        </row>
        <row r="5">
          <cell r="B5" t="str">
            <v>ACCOUNT NAME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>
        <row r="1">
          <cell r="A1" t="str">
            <v>DEPARTMENT NAME</v>
          </cell>
          <cell r="C1" t="str">
            <v>BOARD OF HEALTH 5510</v>
          </cell>
        </row>
        <row r="5">
          <cell r="B5" t="str">
            <v>ACCOUNT NAME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>
        <row r="1">
          <cell r="A1" t="str">
            <v>DEPARTMENT NAME</v>
          </cell>
          <cell r="C1" t="str">
            <v>HISTORICAL COMMISSION 6691</v>
          </cell>
        </row>
        <row r="5">
          <cell r="B5" t="str">
            <v>ACCOUNT NAME</v>
          </cell>
        </row>
      </sheetData>
      <sheetData sheetId="44" refreshError="1">
        <row r="1">
          <cell r="A1" t="str">
            <v>DEPARTMENT NAME</v>
          </cell>
          <cell r="C1" t="str">
            <v>CELEBRATIONS 6692</v>
          </cell>
        </row>
        <row r="5">
          <cell r="B5" t="str">
            <v>ACCOUNT NAME</v>
          </cell>
        </row>
      </sheetData>
      <sheetData sheetId="45" refreshError="1"/>
      <sheetData sheetId="46" refreshError="1"/>
      <sheetData sheetId="47" refreshError="1"/>
      <sheetData sheetId="48" refreshError="1">
        <row r="1">
          <cell r="A1" t="str">
            <v>DEPARTMENT NAME</v>
          </cell>
          <cell r="C1" t="str">
            <v>PENSIONS 1911</v>
          </cell>
        </row>
        <row r="5">
          <cell r="B5" t="str">
            <v>ACCOUNT NAME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0"/>
  <sheetViews>
    <sheetView topLeftCell="A16" zoomScaleNormal="100" workbookViewId="0">
      <selection activeCell="E33" sqref="E33"/>
    </sheetView>
  </sheetViews>
  <sheetFormatPr defaultColWidth="12" defaultRowHeight="15"/>
  <cols>
    <col min="1" max="1" width="40.5703125" customWidth="1"/>
    <col min="2" max="2" width="16.42578125" customWidth="1"/>
    <col min="3" max="3" width="19.42578125" customWidth="1"/>
    <col min="4" max="4" width="23.5703125" customWidth="1"/>
    <col min="5" max="5" width="35.85546875" customWidth="1"/>
    <col min="6" max="6" width="31.28515625" customWidth="1"/>
    <col min="7" max="7" width="22.5703125" customWidth="1"/>
    <col min="8" max="8" width="17.7109375" hidden="1" customWidth="1"/>
    <col min="9" max="9" width="20.42578125" customWidth="1"/>
    <col min="10" max="10" width="22.85546875" customWidth="1"/>
    <col min="11" max="11" width="18.85546875" bestFit="1" customWidth="1"/>
    <col min="13" max="13" width="13.28515625" bestFit="1" customWidth="1"/>
  </cols>
  <sheetData>
    <row r="1" spans="1:11" ht="18">
      <c r="A1" s="17" t="s">
        <v>0</v>
      </c>
      <c r="B1" s="8"/>
      <c r="C1" s="18"/>
      <c r="D1" s="19"/>
      <c r="E1" s="20"/>
      <c r="F1" s="20"/>
      <c r="G1" s="18"/>
      <c r="H1" s="18"/>
      <c r="I1" s="18"/>
    </row>
    <row r="2" spans="1:11" ht="15.75">
      <c r="A2" s="21" t="s">
        <v>1</v>
      </c>
      <c r="B2" s="8"/>
      <c r="C2" s="96"/>
      <c r="D2" s="260">
        <f>SUM(C7:C10)</f>
        <v>13107712.800175002</v>
      </c>
      <c r="E2" s="25"/>
      <c r="F2" s="20"/>
      <c r="G2" s="18"/>
      <c r="H2" s="18"/>
      <c r="I2" s="18"/>
    </row>
    <row r="4" spans="1:11" ht="15.75">
      <c r="D4" s="22"/>
      <c r="J4" s="100"/>
    </row>
    <row r="5" spans="1:11" ht="15.75">
      <c r="A5" s="23" t="s">
        <v>2</v>
      </c>
      <c r="B5" s="117" t="s">
        <v>3</v>
      </c>
      <c r="C5" s="149" t="s">
        <v>4</v>
      </c>
      <c r="D5" s="100">
        <f>SUM(B7:B11)</f>
        <v>14488424.867000001</v>
      </c>
      <c r="E5" s="46"/>
      <c r="H5" t="s">
        <v>5</v>
      </c>
      <c r="I5" s="100">
        <f>D11+C33</f>
        <v>6885390.4600000009</v>
      </c>
    </row>
    <row r="6" spans="1:11" ht="16.5" thickBot="1">
      <c r="E6" s="23" t="s">
        <v>6</v>
      </c>
      <c r="F6" s="117" t="s">
        <v>7</v>
      </c>
      <c r="G6" s="148" t="s">
        <v>8</v>
      </c>
    </row>
    <row r="7" spans="1:11" ht="15.75">
      <c r="A7" t="s">
        <v>9</v>
      </c>
      <c r="B7" s="100">
        <f>16344864.88-1213996-2963147</f>
        <v>12167721.880000001</v>
      </c>
      <c r="C7" s="100">
        <f>SUM(B7:B10)</f>
        <v>12631914.927000001</v>
      </c>
      <c r="D7" s="100">
        <f t="shared" ref="D7:D32" si="0">C7-B7</f>
        <v>464193.04700000025</v>
      </c>
      <c r="E7" s="10" t="s">
        <v>10</v>
      </c>
      <c r="F7" s="100">
        <f>103534+49879+51992</f>
        <v>205405</v>
      </c>
      <c r="G7" s="100">
        <f>SUM(106143+41595+2146+6160+52456)</f>
        <v>208500</v>
      </c>
      <c r="H7" s="97">
        <v>197000</v>
      </c>
      <c r="J7" s="24" t="s">
        <v>11</v>
      </c>
      <c r="K7" s="25"/>
    </row>
    <row r="8" spans="1:11" ht="15.75">
      <c r="A8" t="s">
        <v>12</v>
      </c>
      <c r="B8" s="100">
        <v>0</v>
      </c>
      <c r="C8" s="100"/>
      <c r="D8" s="100">
        <f t="shared" si="0"/>
        <v>0</v>
      </c>
      <c r="E8" s="10" t="s">
        <v>13</v>
      </c>
      <c r="F8" s="100">
        <v>100000</v>
      </c>
      <c r="G8" s="100">
        <v>100000</v>
      </c>
      <c r="H8" s="98">
        <v>100000</v>
      </c>
      <c r="J8" s="25"/>
      <c r="K8" s="25"/>
    </row>
    <row r="9" spans="1:11" ht="15.75">
      <c r="A9" t="s">
        <v>14</v>
      </c>
      <c r="B9" s="100">
        <f>B7*0.025</f>
        <v>304193.04700000002</v>
      </c>
      <c r="C9" s="100">
        <f>C7*0.025</f>
        <v>315797.87317500007</v>
      </c>
      <c r="D9" s="100">
        <f t="shared" si="0"/>
        <v>11604.826175000053</v>
      </c>
      <c r="E9" s="10" t="s">
        <v>15</v>
      </c>
      <c r="F9" s="100">
        <v>18825</v>
      </c>
      <c r="G9" s="100">
        <v>18958</v>
      </c>
      <c r="H9" s="98">
        <v>16493</v>
      </c>
      <c r="J9" s="26"/>
      <c r="K9" s="25"/>
    </row>
    <row r="10" spans="1:11" ht="15.75">
      <c r="A10" t="s">
        <v>16</v>
      </c>
      <c r="B10" s="100">
        <v>160000</v>
      </c>
      <c r="C10" s="100">
        <v>160000</v>
      </c>
      <c r="D10" s="100">
        <f t="shared" si="0"/>
        <v>0</v>
      </c>
      <c r="E10" s="10" t="s">
        <v>17</v>
      </c>
      <c r="F10" s="100"/>
      <c r="H10" s="99">
        <v>0</v>
      </c>
      <c r="I10" s="100"/>
      <c r="K10" s="28"/>
    </row>
    <row r="11" spans="1:11" ht="15.75">
      <c r="A11" t="s">
        <v>18</v>
      </c>
      <c r="B11" s="100">
        <f>F18</f>
        <v>1856509.94</v>
      </c>
      <c r="C11" s="100">
        <f>G18</f>
        <v>3867342</v>
      </c>
      <c r="D11" s="100">
        <f t="shared" si="0"/>
        <v>2010832.06</v>
      </c>
      <c r="E11" s="10" t="s">
        <v>19</v>
      </c>
      <c r="F11" s="129">
        <f>942700</f>
        <v>942700</v>
      </c>
      <c r="G11" s="129">
        <f>C19-50594</f>
        <v>1102626</v>
      </c>
      <c r="H11" s="102">
        <v>709006</v>
      </c>
      <c r="I11" s="100"/>
      <c r="J11" s="198">
        <f>SUM(C12:C23)</f>
        <v>7727955</v>
      </c>
      <c r="K11" s="29"/>
    </row>
    <row r="12" spans="1:11" ht="18">
      <c r="A12" t="s">
        <v>20</v>
      </c>
      <c r="B12" s="100">
        <v>4318848</v>
      </c>
      <c r="C12" s="100">
        <v>4414688</v>
      </c>
      <c r="D12" s="100">
        <f t="shared" si="0"/>
        <v>95840</v>
      </c>
      <c r="F12" s="100">
        <f>SUM(F7:F11)</f>
        <v>1266930</v>
      </c>
      <c r="G12" s="100">
        <f>SUM(G7:G11)</f>
        <v>1430084</v>
      </c>
      <c r="H12" s="40">
        <f>SUM(H7:H11)</f>
        <v>1022499</v>
      </c>
      <c r="J12" s="30"/>
      <c r="K12" s="31"/>
    </row>
    <row r="13" spans="1:11" ht="18">
      <c r="A13" t="s">
        <v>21</v>
      </c>
      <c r="B13" s="136">
        <v>0</v>
      </c>
      <c r="C13" s="100"/>
      <c r="D13" s="100">
        <f t="shared" si="0"/>
        <v>0</v>
      </c>
      <c r="E13" s="27"/>
      <c r="I13" s="263">
        <f>G12-F12</f>
        <v>163154</v>
      </c>
      <c r="K13" s="31"/>
    </row>
    <row r="14" spans="1:11" ht="18">
      <c r="A14" t="s">
        <v>22</v>
      </c>
      <c r="B14" s="136">
        <v>765676</v>
      </c>
      <c r="C14" s="100">
        <v>763160</v>
      </c>
      <c r="D14" s="100">
        <f t="shared" si="0"/>
        <v>-2516</v>
      </c>
      <c r="E14" s="27"/>
      <c r="I14" s="101"/>
      <c r="J14" s="30"/>
      <c r="K14" s="31"/>
    </row>
    <row r="15" spans="1:11" ht="18">
      <c r="A15" t="s">
        <v>23</v>
      </c>
      <c r="B15" s="136">
        <v>9180</v>
      </c>
      <c r="C15" s="105">
        <v>8905</v>
      </c>
      <c r="D15" s="100">
        <f t="shared" si="0"/>
        <v>-275</v>
      </c>
      <c r="E15" s="27"/>
      <c r="J15" s="199"/>
      <c r="K15" s="31"/>
    </row>
    <row r="16" spans="1:11" ht="18">
      <c r="A16" t="s">
        <v>24</v>
      </c>
      <c r="B16" s="136">
        <v>50097</v>
      </c>
      <c r="C16" s="105">
        <v>54542</v>
      </c>
      <c r="D16" s="100">
        <f t="shared" si="0"/>
        <v>4445</v>
      </c>
      <c r="E16" s="23" t="s">
        <v>25</v>
      </c>
      <c r="F16" s="118" t="s">
        <v>3</v>
      </c>
      <c r="G16" s="148" t="s">
        <v>8</v>
      </c>
      <c r="I16" s="40"/>
      <c r="J16" s="30"/>
      <c r="K16" s="31"/>
    </row>
    <row r="17" spans="1:13" ht="18">
      <c r="A17" t="s">
        <v>26</v>
      </c>
      <c r="B17" s="137">
        <v>60685</v>
      </c>
      <c r="C17" s="114">
        <v>60685</v>
      </c>
      <c r="D17" s="100">
        <f t="shared" si="0"/>
        <v>0</v>
      </c>
      <c r="E17" s="10" t="s">
        <v>27</v>
      </c>
      <c r="F17" s="119">
        <f>SUM(
'APPENDIX A FOR INPUT'!F33,
'APPENDIX A FOR INPUT'!F19,
'APPENDIX A FOR INPUT'!F13,
'APPENDIX A FOR INPUT'!F42,
'APPENDIX A FOR INPUT'!F56,
'APPENDIX A FOR INPUT'!F76,
'APPENDIX A FOR INPUT'!F89,
'APPENDIX A FOR INPUT'!F100,
'APPENDIX A FOR INPUT'!F106,
'APPENDIX A FOR INPUT'!F121,
'APPENDIX A FOR INPUT'!F136,
'APPENDIX A FOR INPUT'!F149,
'APPENDIX A FOR INPUT'!F154,
'APPENDIX A FOR INPUT'!F165,
'APPENDIX A FOR INPUT'!F189,
'APPENDIX A FOR INPUT'!F195,
'APPENDIX A FOR INPUT'!F200,
'APPENDIX A FOR INPUT'!F205,
'APPENDIX A FOR INPUT'!F211,
'APPENDIX A FOR INPUT'!F217,
'APPENDIX A FOR INPUT'!F265,
'APPENDIX A FOR INPUT'!F289,
'APPENDIX A FOR INPUT'!F314,
'APPENDIX A FOR INPUT'!F331,
'APPENDIX A FOR INPUT'!F351,
'APPENDIX A FOR INPUT'!F365,
'APPENDIX A FOR INPUT'!F373,
'APPENDIX A FOR INPUT'!F382,
'APPENDIX A FOR INPUT'!F436,
'APPENDIX A FOR INPUT'!F442,
'APPENDIX A FOR INPUT'!F447,
'APPENDIX A FOR INPUT'!F457,
'APPENDIX A FOR INPUT'!F478,
'APPENDIX A FOR INPUT'!F488,
'APPENDIX A FOR INPUT'!F512
)</f>
        <v>7776834.0789999999</v>
      </c>
      <c r="G17" s="100">
        <f>SUM('APPENDIX A FOR INPUT'!I33,'APPENDIX A FOR INPUT'!I19,'APPENDIX A FOR INPUT'!I13,'APPENDIX A FOR INPUT'!I42,'APPENDIX A FOR INPUT'!I56,'APPENDIX A FOR INPUT'!I76,'APPENDIX A FOR INPUT'!I89,'APPENDIX A FOR INPUT'!I100,'APPENDIX A FOR INPUT'!I106,'APPENDIX A FOR INPUT'!I121,'APPENDIX A FOR INPUT'!I136,'APPENDIX A FOR INPUT'!I149,'APPENDIX A FOR INPUT'!I154,'APPENDIX A FOR INPUT'!I165,'APPENDIX A FOR INPUT'!I189,'APPENDIX A FOR INPUT'!I195,'APPENDIX A FOR INPUT'!I200,'APPENDIX A FOR INPUT'!I205,'APPENDIX A FOR INPUT'!I211,'APPENDIX A FOR INPUT'!I217,'APPENDIX A FOR INPUT'!I265,'APPENDIX A FOR INPUT'!I289,'APPENDIX A FOR INPUT'!I314,'APPENDIX A FOR INPUT'!I331,'APPENDIX A FOR INPUT'!I351,'APPENDIX A FOR INPUT'!I365,'APPENDIX A FOR INPUT'!I373,'APPENDIX A FOR INPUT'!I382,'APPENDIX A FOR INPUT'!I436,'APPENDIX A FOR INPUT'!I442,'APPENDIX A FOR INPUT'!I447,'APPENDIX A FOR INPUT'!I457,'APPENDIX A FOR INPUT'!I478,'APPENDIX A FOR INPUT'!I488,'APPENDIX A FOR INPUT'!I512)</f>
        <v>8885175.4199999981</v>
      </c>
      <c r="I17" s="160">
        <f>(G17/F17)-1</f>
        <v>0.14251832168991263</v>
      </c>
      <c r="J17" s="143"/>
      <c r="K17" s="31"/>
      <c r="L17" s="146"/>
    </row>
    <row r="18" spans="1:13" ht="15.75">
      <c r="A18" t="s">
        <v>28</v>
      </c>
      <c r="B18" s="138">
        <v>18825</v>
      </c>
      <c r="C18" s="115">
        <v>18958</v>
      </c>
      <c r="D18" s="100">
        <f t="shared" si="0"/>
        <v>133</v>
      </c>
      <c r="E18" s="10" t="s">
        <v>29</v>
      </c>
      <c r="F18" s="121">
        <f>'APPENDIX A FOR INPUT'!F540+'APPENDIX A FOR INPUT'!F548</f>
        <v>1856509.94</v>
      </c>
      <c r="G18" s="100">
        <f>SUM('APPENDIX A FOR INPUT'!I548,'APPENDIX A FOR INPUT'!I540)</f>
        <v>3867342</v>
      </c>
      <c r="I18" s="144">
        <f t="shared" ref="I18:I25" si="1">(G18/F18)-1</f>
        <v>1.083124855232394</v>
      </c>
      <c r="J18" s="143"/>
      <c r="K18" s="25"/>
    </row>
    <row r="19" spans="1:13" ht="15.75">
      <c r="A19" t="s">
        <v>30</v>
      </c>
      <c r="B19" s="138">
        <v>997422</v>
      </c>
      <c r="C19" s="100">
        <v>1153220</v>
      </c>
      <c r="D19" s="100">
        <f t="shared" si="0"/>
        <v>155798</v>
      </c>
      <c r="E19" s="10" t="s">
        <v>31</v>
      </c>
      <c r="F19" s="120">
        <f>+'APPENDIX A FOR INPUT'!F385+'APPENDIX A FOR INPUT'!F386+'APPENDIX A FOR INPUT'!F388+'APPENDIX A FOR INPUT'!F390+'APPENDIX A FOR INPUT'!F391+'APPENDIX A FOR INPUT'!F387</f>
        <v>10572995.5</v>
      </c>
      <c r="G19" s="100">
        <f>SUM('APPENDIX A FOR INPUT'!I385:I387,'APPENDIX A FOR INPUT'!I388,'APPENDIX A FOR INPUT'!I390:I391)</f>
        <v>12110358</v>
      </c>
      <c r="I19" s="160">
        <f t="shared" si="1"/>
        <v>0.14540463012587113</v>
      </c>
      <c r="J19" s="143"/>
      <c r="K19" s="25"/>
    </row>
    <row r="20" spans="1:13" ht="15.75">
      <c r="A20" t="s">
        <v>32</v>
      </c>
      <c r="B20" s="115">
        <v>920000</v>
      </c>
      <c r="C20" s="100">
        <f>1030039-8000-9000-10000</f>
        <v>1003039</v>
      </c>
      <c r="D20" s="100">
        <f t="shared" si="0"/>
        <v>83039</v>
      </c>
      <c r="E20" s="10" t="s">
        <v>33</v>
      </c>
      <c r="F20" s="100">
        <f>'APPENDIX A FOR INPUT'!F389</f>
        <v>770411</v>
      </c>
      <c r="G20" s="100">
        <f>'APPENDIX A FOR INPUT'!I389</f>
        <v>808931</v>
      </c>
      <c r="I20" s="160">
        <f t="shared" si="1"/>
        <v>4.9999286095343987E-2</v>
      </c>
      <c r="J20" s="143"/>
      <c r="K20" s="25"/>
    </row>
    <row r="21" spans="1:13" ht="15.75">
      <c r="A21" t="s">
        <v>34</v>
      </c>
      <c r="B21" s="100">
        <v>19000</v>
      </c>
      <c r="C21" s="100">
        <f>27904+8000</f>
        <v>35904</v>
      </c>
      <c r="D21" s="100">
        <f t="shared" si="0"/>
        <v>16904</v>
      </c>
      <c r="E21" s="10" t="s">
        <v>35</v>
      </c>
      <c r="F21" s="100">
        <f>+'APPENDIX A FOR INPUT'!F393</f>
        <v>1353780</v>
      </c>
      <c r="G21" s="100">
        <f>+'APPENDIX A FOR INPUT'!I393</f>
        <v>1395482</v>
      </c>
      <c r="I21" s="144">
        <f t="shared" si="1"/>
        <v>3.0804118837625127E-2</v>
      </c>
      <c r="J21" s="143"/>
      <c r="K21" s="25"/>
    </row>
    <row r="22" spans="1:13" ht="15.75">
      <c r="A22" t="s">
        <v>36</v>
      </c>
      <c r="B22" s="104">
        <v>162149</v>
      </c>
      <c r="C22" s="100">
        <f>163854</f>
        <v>163854</v>
      </c>
      <c r="D22" s="100">
        <f t="shared" si="0"/>
        <v>1705</v>
      </c>
      <c r="E22" s="10" t="s">
        <v>37</v>
      </c>
      <c r="F22" s="100">
        <f>'APPENDIX A FOR INPUT'!F392+'APPENDIX A FOR INPUT'!F395</f>
        <v>3013899</v>
      </c>
      <c r="G22" s="100">
        <f>'APPENDIX A FOR INPUT'!I392+'APPENDIX A FOR INPUT'!I395</f>
        <v>3123111</v>
      </c>
      <c r="I22" s="160">
        <f t="shared" si="1"/>
        <v>3.6236118065004819E-2</v>
      </c>
      <c r="J22" s="143"/>
      <c r="K22" s="25"/>
    </row>
    <row r="23" spans="1:13" ht="15.75">
      <c r="A23" t="s">
        <v>38</v>
      </c>
      <c r="B23" s="101">
        <v>40000</v>
      </c>
      <c r="C23" s="100">
        <f>42000+9000</f>
        <v>51000</v>
      </c>
      <c r="D23" s="100">
        <f t="shared" si="0"/>
        <v>11000</v>
      </c>
      <c r="E23" s="10" t="s">
        <v>39</v>
      </c>
      <c r="F23" s="100">
        <f>0</f>
        <v>0</v>
      </c>
      <c r="G23" s="100"/>
      <c r="I23" s="160"/>
      <c r="J23" s="143"/>
      <c r="K23" s="25"/>
    </row>
    <row r="24" spans="1:13" ht="15.75">
      <c r="A24" t="s">
        <v>40</v>
      </c>
      <c r="B24" s="101">
        <v>90000</v>
      </c>
      <c r="C24" s="100">
        <v>90000</v>
      </c>
      <c r="D24" s="100">
        <f t="shared" si="0"/>
        <v>0</v>
      </c>
      <c r="E24" s="10" t="s">
        <v>41</v>
      </c>
      <c r="F24" s="221">
        <f>'APPENDIX A FOR INPUT'!F394</f>
        <v>176743.22</v>
      </c>
      <c r="G24" s="221">
        <f>'APPENDIX A FOR INPUT'!I394</f>
        <v>226730</v>
      </c>
      <c r="I24" s="144">
        <f t="shared" si="1"/>
        <v>0.28282148531638152</v>
      </c>
      <c r="J24" s="143"/>
      <c r="K24" s="25"/>
    </row>
    <row r="25" spans="1:13" ht="18.75" thickBot="1">
      <c r="A25" t="s">
        <v>42</v>
      </c>
      <c r="B25" s="105">
        <v>100000</v>
      </c>
      <c r="C25" s="100">
        <f>116505+10000</f>
        <v>126505</v>
      </c>
      <c r="D25" s="100">
        <f t="shared" si="0"/>
        <v>26505</v>
      </c>
      <c r="E25" s="10"/>
      <c r="F25" s="153">
        <f>SUM(F17:F24)</f>
        <v>25521172.739</v>
      </c>
      <c r="G25" s="154">
        <f>SUM(G17:G24)</f>
        <v>30417129.419999998</v>
      </c>
      <c r="H25" s="55" t="s">
        <v>43</v>
      </c>
      <c r="I25" s="144">
        <f t="shared" si="1"/>
        <v>0.19183901661063851</v>
      </c>
      <c r="J25" s="143"/>
      <c r="K25" s="100"/>
      <c r="L25" s="144"/>
    </row>
    <row r="26" spans="1:13" ht="15.75" thickTop="1">
      <c r="A26" t="s">
        <v>44</v>
      </c>
      <c r="B26" s="101">
        <v>25000</v>
      </c>
      <c r="C26" s="100">
        <v>25000</v>
      </c>
      <c r="D26" s="100">
        <f t="shared" si="0"/>
        <v>0</v>
      </c>
      <c r="E26" s="10"/>
      <c r="F26" s="122"/>
      <c r="H26" s="54" t="e">
        <f>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</f>
        <v>#REF!</v>
      </c>
    </row>
    <row r="27" spans="1:13" ht="15.75">
      <c r="A27" t="s">
        <v>45</v>
      </c>
      <c r="B27" s="101">
        <v>127500</v>
      </c>
      <c r="C27" s="100">
        <f>132430+33000</f>
        <v>165430</v>
      </c>
      <c r="D27" s="100">
        <f t="shared" si="0"/>
        <v>37930</v>
      </c>
      <c r="E27" s="10" t="s">
        <v>46</v>
      </c>
      <c r="F27" s="119">
        <f>+B36</f>
        <v>26788102.866999999</v>
      </c>
      <c r="G27" s="100">
        <f>+C36</f>
        <v>33794114.800175004</v>
      </c>
      <c r="H27" s="54" t="e">
        <f>+'APPENDIX A FOR INPUT'!#REF!+'APPENDIX A FOR INPUT'!#REF!</f>
        <v>#REF!</v>
      </c>
      <c r="I27" s="100"/>
      <c r="J27" s="58"/>
      <c r="L27" s="25"/>
      <c r="M27" s="25"/>
    </row>
    <row r="28" spans="1:13" ht="15.75">
      <c r="A28" t="s">
        <v>47</v>
      </c>
      <c r="B28" s="101">
        <v>10965</v>
      </c>
      <c r="C28" s="100">
        <v>20000</v>
      </c>
      <c r="D28" s="100">
        <f t="shared" si="0"/>
        <v>9035</v>
      </c>
      <c r="E28" s="10" t="s">
        <v>25</v>
      </c>
      <c r="F28" s="101">
        <f>+F25</f>
        <v>25521172.739</v>
      </c>
      <c r="G28" s="100">
        <f>+G25</f>
        <v>30417129.419999998</v>
      </c>
      <c r="H28" s="54" t="e">
        <f>+'APPENDIX A FOR INPUT'!#REF!+'APPENDIX A FOR INPUT'!#REF!+'APPENDIX A FOR INPUT'!#REF!+'APPENDIX A FOR INPUT'!#REF!+'APPENDIX A FOR INPUT'!#REF!</f>
        <v>#REF!</v>
      </c>
      <c r="I28" s="100"/>
      <c r="L28" s="25"/>
      <c r="M28" s="25"/>
    </row>
    <row r="29" spans="1:13" ht="16.5" thickBot="1">
      <c r="A29" t="s">
        <v>48</v>
      </c>
      <c r="B29" s="105">
        <v>100000</v>
      </c>
      <c r="C29" s="100">
        <f>302501*0.6</f>
        <v>181500.6</v>
      </c>
      <c r="D29" s="100">
        <f t="shared" si="0"/>
        <v>81500.600000000006</v>
      </c>
      <c r="E29" s="10" t="s">
        <v>6</v>
      </c>
      <c r="F29" s="152">
        <f>F12</f>
        <v>1266930</v>
      </c>
      <c r="G29" s="150">
        <f>G12</f>
        <v>1430084</v>
      </c>
      <c r="H29" s="54" t="e">
        <f>+'APPENDIX A FOR INPUT'!#REF!</f>
        <v>#REF!</v>
      </c>
      <c r="I29" s="100"/>
      <c r="L29" s="25"/>
      <c r="M29" s="25"/>
    </row>
    <row r="30" spans="1:13" ht="16.5" thickTop="1">
      <c r="A30" t="s">
        <v>49</v>
      </c>
      <c r="B30" s="115">
        <v>485000</v>
      </c>
      <c r="C30" s="100">
        <f>485000</f>
        <v>485000</v>
      </c>
      <c r="D30" s="100">
        <f t="shared" si="0"/>
        <v>0</v>
      </c>
      <c r="E30" s="103" t="s">
        <v>50</v>
      </c>
      <c r="F30" s="130">
        <f>F27-F28-F29</f>
        <v>0.12799999862909317</v>
      </c>
      <c r="G30" s="130">
        <f>G27-G28-G29</f>
        <v>1946901.3801750056</v>
      </c>
      <c r="H30" s="131" t="e">
        <f>+'APPENDIX A FOR INPUT'!#REF!</f>
        <v>#REF!</v>
      </c>
      <c r="I30" s="115"/>
      <c r="L30" s="25"/>
      <c r="M30" s="25"/>
    </row>
    <row r="31" spans="1:13" ht="15.75">
      <c r="A31" t="s">
        <v>51</v>
      </c>
      <c r="B31" s="114">
        <v>0</v>
      </c>
      <c r="C31" s="100">
        <v>0</v>
      </c>
      <c r="D31" s="100">
        <f t="shared" si="0"/>
        <v>0</v>
      </c>
      <c r="H31" s="54" t="e">
        <f>+'APPENDIX A FOR INPUT'!#REF!+'APPENDIX A FOR INPUT'!#REF!</f>
        <v>#REF!</v>
      </c>
      <c r="I31" s="53">
        <f>C33-G30</f>
        <v>2927657.0198249947</v>
      </c>
      <c r="L31" s="25"/>
      <c r="M31" s="25"/>
    </row>
    <row r="32" spans="1:13" ht="15.75">
      <c r="A32" t="s">
        <v>52</v>
      </c>
      <c r="B32" s="114">
        <v>3013899</v>
      </c>
      <c r="C32" s="100">
        <f>G22</f>
        <v>3123111</v>
      </c>
      <c r="D32" s="100">
        <f t="shared" si="0"/>
        <v>109212</v>
      </c>
      <c r="H32" s="54"/>
      <c r="L32" s="25"/>
      <c r="M32" s="25"/>
    </row>
    <row r="33" spans="1:13" ht="18">
      <c r="A33" s="258" t="s">
        <v>53</v>
      </c>
      <c r="C33" s="100">
        <v>4874558.4000000004</v>
      </c>
      <c r="D33" s="100"/>
      <c r="E33" s="100"/>
      <c r="F33" s="90"/>
      <c r="G33" s="91"/>
      <c r="H33" s="72" t="e">
        <f>+'APPENDIX A FOR INPUT'!#REF!</f>
        <v>#REF!</v>
      </c>
      <c r="I33" s="69"/>
      <c r="L33" s="25"/>
      <c r="M33" s="25"/>
    </row>
    <row r="34" spans="1:13" ht="15.75">
      <c r="A34" t="s">
        <v>54</v>
      </c>
      <c r="B34" s="197">
        <v>279053</v>
      </c>
      <c r="C34" s="197">
        <f>0</f>
        <v>0</v>
      </c>
      <c r="D34" s="100"/>
      <c r="E34" s="100"/>
      <c r="F34" s="133" t="s">
        <v>55</v>
      </c>
      <c r="G34" s="111">
        <f>C36-C34-C35</f>
        <v>33794114.800175004</v>
      </c>
      <c r="J34" s="25"/>
      <c r="K34" s="25"/>
      <c r="L34" s="25"/>
      <c r="M34" s="25"/>
    </row>
    <row r="35" spans="1:13" ht="16.5" thickBot="1">
      <c r="A35" s="142" t="s">
        <v>56</v>
      </c>
      <c r="B35" s="159">
        <v>706379</v>
      </c>
      <c r="C35" s="100">
        <f>0</f>
        <v>0</v>
      </c>
      <c r="D35" s="100"/>
      <c r="E35" s="100"/>
      <c r="F35" s="134" t="s">
        <v>57</v>
      </c>
      <c r="G35" s="155">
        <f>B36-(B34+B35)</f>
        <v>25802670.866999999</v>
      </c>
      <c r="J35" s="25"/>
      <c r="K35" s="25"/>
      <c r="L35" s="25"/>
      <c r="M35" s="25"/>
    </row>
    <row r="36" spans="1:13" ht="17.25" thickTop="1" thickBot="1">
      <c r="B36" s="116">
        <f>SUM(B7:B35)</f>
        <v>26788102.866999999</v>
      </c>
      <c r="C36" s="151">
        <f>SUM(C7:C35)</f>
        <v>33794114.800175004</v>
      </c>
      <c r="D36" s="100">
        <f>SUM(D7:D35)</f>
        <v>3116885.5331750005</v>
      </c>
      <c r="F36" s="135" t="s">
        <v>58</v>
      </c>
      <c r="G36" s="106">
        <f>G34-G35</f>
        <v>7991443.933175005</v>
      </c>
      <c r="J36" s="25"/>
      <c r="K36" s="25"/>
      <c r="L36" s="25"/>
      <c r="M36" s="25"/>
    </row>
    <row r="37" spans="1:13" ht="16.5" thickTop="1">
      <c r="D37" s="100">
        <f>D36-D11</f>
        <v>1106053.4731750004</v>
      </c>
      <c r="E37" s="100">
        <f>SUM(C12:C19)</f>
        <v>6474158</v>
      </c>
      <c r="F37" s="156" t="s">
        <v>59</v>
      </c>
      <c r="G37" s="157">
        <f>(G34/G35)-1</f>
        <v>0.30971382669518777</v>
      </c>
      <c r="J37" s="25"/>
      <c r="K37" s="25"/>
      <c r="L37" s="25"/>
      <c r="M37" s="25"/>
    </row>
    <row r="38" spans="1:13" ht="15.75">
      <c r="C38" s="42" t="s">
        <v>60</v>
      </c>
      <c r="D38" s="89"/>
      <c r="E38" s="146"/>
      <c r="G38" s="108"/>
      <c r="H38" s="25"/>
      <c r="I38" s="49"/>
      <c r="J38" s="25"/>
      <c r="K38" s="25"/>
      <c r="L38" s="25"/>
      <c r="M38" s="25"/>
    </row>
    <row r="39" spans="1:13" ht="15.75">
      <c r="A39" s="178" t="s">
        <v>61</v>
      </c>
      <c r="B39" s="179">
        <v>950081</v>
      </c>
      <c r="C39" s="111">
        <f>G17-C40</f>
        <v>8400175.4199999981</v>
      </c>
      <c r="D39" s="4" t="s">
        <v>62</v>
      </c>
      <c r="H39" s="48"/>
      <c r="I39" s="39"/>
      <c r="J39" s="22"/>
      <c r="K39" s="25"/>
      <c r="L39" s="25"/>
      <c r="M39" s="25"/>
    </row>
    <row r="40" spans="1:13" ht="15.75">
      <c r="A40" s="180" t="s">
        <v>63</v>
      </c>
      <c r="B40" s="181">
        <f>-181758</f>
        <v>-181758</v>
      </c>
      <c r="C40" s="111">
        <v>485000</v>
      </c>
      <c r="D40" s="4" t="s">
        <v>64</v>
      </c>
      <c r="E40" s="100"/>
      <c r="H40" s="71" t="e">
        <f>+#REF!</f>
        <v>#REF!</v>
      </c>
      <c r="I40" s="47"/>
      <c r="J40" s="22"/>
      <c r="K40" s="25"/>
      <c r="L40" s="25"/>
      <c r="M40" s="25"/>
    </row>
    <row r="41" spans="1:13" ht="15.75">
      <c r="A41" s="180" t="s">
        <v>65</v>
      </c>
      <c r="B41" s="181">
        <v>0</v>
      </c>
      <c r="C41" s="182">
        <f>SUM(C39:C40)</f>
        <v>8885175.4199999981</v>
      </c>
      <c r="D41" s="79" t="s">
        <v>66</v>
      </c>
      <c r="E41" s="100"/>
      <c r="F41" s="133" t="s">
        <v>67</v>
      </c>
      <c r="G41" s="111">
        <f>G28+G29</f>
        <v>31847213.419999998</v>
      </c>
      <c r="H41" s="54" t="e">
        <f>+#REF!</f>
        <v>#REF!</v>
      </c>
      <c r="I41" s="35"/>
      <c r="J41" s="25"/>
      <c r="K41" s="33"/>
      <c r="L41" s="25"/>
      <c r="M41" s="25"/>
    </row>
    <row r="42" spans="1:13" ht="15.75">
      <c r="A42" s="180" t="s">
        <v>68</v>
      </c>
      <c r="B42" s="183">
        <f>-110000</f>
        <v>-110000</v>
      </c>
      <c r="C42" s="184"/>
      <c r="D42" s="185"/>
      <c r="F42" s="134" t="s">
        <v>69</v>
      </c>
      <c r="G42" s="107">
        <f>F28+F29</f>
        <v>26788102.739</v>
      </c>
      <c r="H42" s="71" t="e">
        <f>+#REF!</f>
        <v>#REF!</v>
      </c>
      <c r="J42" s="32"/>
      <c r="L42" s="34"/>
    </row>
    <row r="43" spans="1:13" ht="15.75">
      <c r="A43" s="180" t="s">
        <v>70</v>
      </c>
      <c r="B43" s="183">
        <f>0</f>
        <v>0</v>
      </c>
      <c r="C43" s="186">
        <f>C11</f>
        <v>3867342</v>
      </c>
      <c r="D43" s="187" t="s">
        <v>71</v>
      </c>
      <c r="F43" s="156" t="s">
        <v>72</v>
      </c>
      <c r="G43" s="111">
        <f>G41-G42</f>
        <v>5059110.680999998</v>
      </c>
      <c r="H43" s="41" t="e">
        <f>H40-H41-H42</f>
        <v>#REF!</v>
      </c>
      <c r="J43" s="35"/>
      <c r="L43" s="36"/>
    </row>
    <row r="44" spans="1:13" ht="15.75">
      <c r="A44" s="180" t="s">
        <v>73</v>
      </c>
      <c r="B44" s="183">
        <f>-50000</f>
        <v>-50000</v>
      </c>
      <c r="C44" s="190"/>
      <c r="D44" s="185"/>
      <c r="F44" s="156" t="s">
        <v>74</v>
      </c>
      <c r="G44" s="158">
        <f>G41/G42-1</f>
        <v>0.18885662528218505</v>
      </c>
      <c r="J44" s="35"/>
      <c r="K44" s="37"/>
      <c r="L44" s="38"/>
      <c r="M44" s="10"/>
    </row>
    <row r="45" spans="1:13" ht="15.75">
      <c r="A45" s="180" t="s">
        <v>75</v>
      </c>
      <c r="B45" s="183">
        <f>-590000+-18242+-81</f>
        <v>-608323</v>
      </c>
      <c r="C45" s="111">
        <f>C34</f>
        <v>0</v>
      </c>
      <c r="D45" s="4" t="s">
        <v>76</v>
      </c>
      <c r="J45" s="35"/>
      <c r="K45" s="37"/>
      <c r="L45" s="38"/>
      <c r="M45" s="10"/>
    </row>
    <row r="46" spans="1:13" ht="15.75">
      <c r="A46" s="188" t="s">
        <v>77</v>
      </c>
      <c r="B46" s="189">
        <f>SUM(B39:B45)</f>
        <v>0</v>
      </c>
      <c r="C46" s="100">
        <f>C35</f>
        <v>0</v>
      </c>
      <c r="D46" s="185" t="s">
        <v>78</v>
      </c>
      <c r="I46" s="92"/>
      <c r="J46" s="35"/>
      <c r="K46" s="37"/>
      <c r="L46" s="38"/>
      <c r="M46" s="10"/>
    </row>
    <row r="47" spans="1:13" ht="15.75">
      <c r="A47" s="81"/>
      <c r="B47" s="191"/>
      <c r="C47" s="111">
        <f>(G19+F20+F21+F24)-C46-C45</f>
        <v>14411292.220000001</v>
      </c>
      <c r="D47" s="4" t="s">
        <v>62</v>
      </c>
      <c r="E47" s="100"/>
      <c r="J47" s="35"/>
      <c r="K47" s="37"/>
      <c r="L47" s="38"/>
      <c r="M47" s="10"/>
    </row>
    <row r="48" spans="1:13" ht="15.75">
      <c r="A48" s="123"/>
      <c r="B48" s="196"/>
      <c r="C48" s="182">
        <f>SUM(C45:C47)</f>
        <v>14411292.220000001</v>
      </c>
      <c r="D48" s="79" t="s">
        <v>79</v>
      </c>
      <c r="J48" s="35"/>
      <c r="K48" s="37"/>
      <c r="L48" s="38"/>
      <c r="M48" s="10"/>
    </row>
    <row r="49" spans="1:13" ht="15.75">
      <c r="A49" s="123"/>
      <c r="B49" s="123"/>
      <c r="C49" s="184"/>
      <c r="D49" s="185"/>
      <c r="F49" s="89"/>
      <c r="K49" s="37"/>
      <c r="L49" s="38"/>
      <c r="M49" s="10"/>
    </row>
    <row r="50" spans="1:13" ht="15.75">
      <c r="A50" s="192"/>
      <c r="B50" s="196"/>
      <c r="C50" s="111">
        <v>3123111</v>
      </c>
      <c r="D50" s="4" t="s">
        <v>80</v>
      </c>
      <c r="F50" s="89"/>
      <c r="K50" s="37"/>
      <c r="L50" s="38"/>
      <c r="M50" s="10"/>
    </row>
    <row r="51" spans="1:13">
      <c r="B51" s="193"/>
      <c r="C51" s="111">
        <v>0</v>
      </c>
      <c r="D51" s="4" t="s">
        <v>62</v>
      </c>
      <c r="F51" s="93"/>
    </row>
    <row r="52" spans="1:13" ht="15.75">
      <c r="C52" s="182">
        <f>SUM(C50:C51)</f>
        <v>3123111</v>
      </c>
      <c r="D52" s="79" t="s">
        <v>81</v>
      </c>
      <c r="E52" s="27"/>
      <c r="F52" s="27"/>
    </row>
    <row r="53" spans="1:13">
      <c r="B53" s="50"/>
      <c r="C53" s="184"/>
      <c r="D53" s="185"/>
      <c r="E53" s="100">
        <f>G28-C54</f>
        <v>130208.77999999747</v>
      </c>
    </row>
    <row r="54" spans="1:13">
      <c r="B54" s="50"/>
      <c r="C54" s="194">
        <f>SUM(C41+C43+C48+C52)</f>
        <v>30286920.640000001</v>
      </c>
      <c r="D54" s="195" t="s">
        <v>82</v>
      </c>
    </row>
    <row r="55" spans="1:13">
      <c r="A55" s="51"/>
      <c r="B55" s="52"/>
    </row>
    <row r="56" spans="1:13" ht="15.75">
      <c r="B56" s="163"/>
      <c r="C56" s="164"/>
      <c r="D56" s="165"/>
      <c r="E56" s="162"/>
      <c r="F56" s="164"/>
      <c r="G56" s="164"/>
      <c r="H56" s="164"/>
      <c r="I56" s="164"/>
      <c r="J56" s="164"/>
    </row>
    <row r="57" spans="1:13" ht="15.75">
      <c r="B57" s="163"/>
      <c r="C57" s="163"/>
      <c r="D57" s="165"/>
      <c r="E57" s="164"/>
      <c r="F57" s="164"/>
      <c r="G57" s="164"/>
      <c r="H57" s="164"/>
      <c r="I57" s="164"/>
      <c r="J57" s="164"/>
    </row>
    <row r="58" spans="1:13" ht="15.75">
      <c r="B58" s="164"/>
      <c r="C58" s="163"/>
      <c r="D58" s="165"/>
      <c r="E58" s="162"/>
      <c r="F58" s="164"/>
      <c r="G58" s="164"/>
      <c r="H58" s="164"/>
      <c r="I58" s="164"/>
      <c r="J58" s="164"/>
    </row>
    <row r="59" spans="1:13" ht="15.75">
      <c r="B59" s="163"/>
      <c r="C59" s="163"/>
      <c r="D59" s="164"/>
      <c r="E59" s="162"/>
      <c r="F59" s="164"/>
      <c r="G59" s="164"/>
      <c r="H59" s="164"/>
      <c r="I59" s="164"/>
      <c r="J59" s="164"/>
    </row>
    <row r="60" spans="1:13" ht="15.75">
      <c r="B60" s="166"/>
      <c r="C60" s="164"/>
      <c r="D60" s="164"/>
      <c r="E60" s="164"/>
      <c r="F60" s="164"/>
      <c r="G60" s="164"/>
      <c r="H60" s="164"/>
      <c r="I60" s="164"/>
      <c r="J60" s="164"/>
    </row>
    <row r="61" spans="1:13">
      <c r="B61" s="50"/>
    </row>
    <row r="62" spans="1:13" ht="15.75">
      <c r="B62" s="167"/>
      <c r="C62" s="167" t="s">
        <v>83</v>
      </c>
      <c r="D62" s="168" t="s">
        <v>58</v>
      </c>
      <c r="E62" s="167" t="s">
        <v>7</v>
      </c>
    </row>
    <row r="63" spans="1:13" ht="15.75">
      <c r="A63" s="22"/>
      <c r="B63" s="168" t="s">
        <v>84</v>
      </c>
      <c r="C63" s="167">
        <v>12164186.18</v>
      </c>
      <c r="D63" s="168">
        <f>E63-C63</f>
        <v>467728.75</v>
      </c>
      <c r="E63" s="168">
        <v>12631914.93</v>
      </c>
      <c r="F63" s="164"/>
      <c r="G63" s="164"/>
      <c r="H63" s="164"/>
      <c r="I63" s="164"/>
      <c r="J63" s="164"/>
    </row>
    <row r="64" spans="1:13" ht="15.75">
      <c r="B64" s="168" t="s">
        <v>85</v>
      </c>
      <c r="C64" s="167">
        <v>1268564</v>
      </c>
      <c r="D64" s="168">
        <f t="shared" ref="D64:D69" si="2">E64-C64</f>
        <v>912011.27</v>
      </c>
      <c r="E64" s="168">
        <v>2180575.27</v>
      </c>
      <c r="F64" s="164"/>
      <c r="G64" s="164"/>
      <c r="H64" s="164"/>
      <c r="I64" s="164"/>
      <c r="J64" s="164"/>
    </row>
    <row r="65" spans="2:10" ht="15.75">
      <c r="B65" s="169" t="s">
        <v>86</v>
      </c>
      <c r="C65" s="167">
        <v>2747558</v>
      </c>
      <c r="D65" s="168">
        <f t="shared" si="2"/>
        <v>289667.45999999996</v>
      </c>
      <c r="E65" s="168">
        <v>3037225.46</v>
      </c>
      <c r="F65" s="164"/>
      <c r="G65" s="164"/>
      <c r="H65" s="164"/>
      <c r="I65" s="164"/>
      <c r="J65" s="164"/>
    </row>
    <row r="66" spans="2:10" ht="15.75">
      <c r="B66" s="168" t="s">
        <v>87</v>
      </c>
      <c r="C66" s="167">
        <v>5917330</v>
      </c>
      <c r="D66" s="168">
        <f t="shared" si="2"/>
        <v>172634</v>
      </c>
      <c r="E66" s="168">
        <v>6089964</v>
      </c>
      <c r="F66" s="164"/>
      <c r="G66" s="164"/>
      <c r="H66" s="164"/>
      <c r="I66" s="164"/>
      <c r="J66" s="164"/>
    </row>
    <row r="67" spans="2:10" ht="15.75">
      <c r="B67" s="168" t="s">
        <v>88</v>
      </c>
      <c r="C67" s="167">
        <v>1407720</v>
      </c>
      <c r="D67" s="168">
        <f t="shared" si="2"/>
        <v>186894.39999999991</v>
      </c>
      <c r="E67" s="168">
        <v>1594614.4</v>
      </c>
      <c r="F67" s="164"/>
      <c r="G67" s="164"/>
      <c r="H67" s="164"/>
      <c r="I67" s="164"/>
      <c r="J67" s="164"/>
    </row>
    <row r="68" spans="2:10" ht="16.5" thickBot="1">
      <c r="B68" s="170" t="s">
        <v>64</v>
      </c>
      <c r="C68" s="171">
        <v>450000</v>
      </c>
      <c r="D68" s="170">
        <f t="shared" si="2"/>
        <v>0</v>
      </c>
      <c r="E68" s="170">
        <v>450000</v>
      </c>
      <c r="F68" s="164"/>
      <c r="G68" s="164"/>
      <c r="H68" s="164"/>
      <c r="I68" s="164"/>
      <c r="J68" s="164"/>
    </row>
    <row r="69" spans="2:10" ht="16.5" thickTop="1">
      <c r="B69" s="172" t="s">
        <v>89</v>
      </c>
      <c r="C69" s="173">
        <f>SUM(C63:C68)</f>
        <v>23955358.18</v>
      </c>
      <c r="D69" s="172">
        <f t="shared" si="2"/>
        <v>2028935.879999999</v>
      </c>
      <c r="E69" s="172">
        <f>SUM(E63:E68)</f>
        <v>25984294.059999999</v>
      </c>
      <c r="F69" s="164"/>
      <c r="G69" s="164"/>
      <c r="H69" s="164"/>
      <c r="I69" s="164"/>
      <c r="J69" s="164"/>
    </row>
    <row r="70" spans="2:10" ht="15.75">
      <c r="C70" s="163"/>
      <c r="D70" s="165"/>
      <c r="E70" s="164"/>
      <c r="F70" s="164"/>
      <c r="G70" s="164"/>
      <c r="H70" s="164"/>
      <c r="I70" s="164"/>
      <c r="J70" s="164"/>
    </row>
  </sheetData>
  <printOptions horizontalCentered="1"/>
  <pageMargins left="0.25" right="0.25" top="0.75" bottom="0.75" header="0.3" footer="0.3"/>
  <pageSetup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W668"/>
  <sheetViews>
    <sheetView tabSelected="1" zoomScaleNormal="100" workbookViewId="0">
      <pane ySplit="8" topLeftCell="A532" activePane="bottomLeft" state="frozen"/>
      <selection pane="bottomLeft" activeCell="L551" sqref="L551"/>
      <selection activeCell="G25" sqref="G25"/>
    </sheetView>
  </sheetViews>
  <sheetFormatPr defaultRowHeight="15"/>
  <cols>
    <col min="1" max="1" width="15.7109375" bestFit="1" customWidth="1"/>
    <col min="2" max="2" width="13.7109375" bestFit="1" customWidth="1"/>
    <col min="3" max="3" width="31.7109375" style="8" bestFit="1" customWidth="1"/>
    <col min="4" max="4" width="39.42578125" customWidth="1"/>
    <col min="5" max="5" width="14.85546875" style="86" customWidth="1"/>
    <col min="6" max="7" width="14.85546875" style="77" customWidth="1"/>
    <col min="8" max="8" width="11.5703125" bestFit="1" customWidth="1"/>
    <col min="9" max="9" width="13" style="2" bestFit="1" customWidth="1"/>
    <col min="10" max="10" width="19.28515625" bestFit="1" customWidth="1"/>
    <col min="11" max="11" width="12.5703125" bestFit="1" customWidth="1"/>
    <col min="12" max="12" width="19.7109375" customWidth="1"/>
    <col min="13" max="13" width="14.28515625" bestFit="1" customWidth="1"/>
  </cols>
  <sheetData>
    <row r="1" spans="1:23" s="3" customFormat="1" ht="20.25">
      <c r="B1" s="264" t="s">
        <v>90</v>
      </c>
      <c r="C1" s="264"/>
      <c r="D1" s="264"/>
      <c r="E1" s="264"/>
      <c r="F1" s="264"/>
      <c r="G1" s="264"/>
      <c r="H1" s="264"/>
      <c r="I1" s="264"/>
      <c r="J1" s="264"/>
    </row>
    <row r="3" spans="1:23">
      <c r="E3" s="77"/>
      <c r="G3"/>
      <c r="H3" s="2"/>
      <c r="I3"/>
    </row>
    <row r="4" spans="1:23">
      <c r="E4" s="77"/>
      <c r="G4"/>
      <c r="H4" s="2"/>
      <c r="I4"/>
    </row>
    <row r="5" spans="1:23">
      <c r="E5" s="77"/>
      <c r="G5"/>
      <c r="H5" s="2"/>
      <c r="I5"/>
    </row>
    <row r="6" spans="1:23">
      <c r="E6" s="77"/>
      <c r="G6"/>
      <c r="H6" s="2"/>
      <c r="I6"/>
    </row>
    <row r="7" spans="1:23">
      <c r="E7" s="1" t="s">
        <v>83</v>
      </c>
      <c r="F7" s="1" t="s">
        <v>7</v>
      </c>
      <c r="G7"/>
      <c r="H7" s="2"/>
      <c r="I7" s="1" t="s">
        <v>91</v>
      </c>
      <c r="J7" s="1" t="s">
        <v>92</v>
      </c>
      <c r="K7" s="1" t="s">
        <v>93</v>
      </c>
      <c r="L7" s="200"/>
    </row>
    <row r="8" spans="1:23">
      <c r="B8" s="1" t="s">
        <v>94</v>
      </c>
      <c r="C8" s="42" t="s">
        <v>95</v>
      </c>
      <c r="D8" s="1" t="s">
        <v>96</v>
      </c>
      <c r="E8" s="1" t="s">
        <v>97</v>
      </c>
      <c r="F8" s="1" t="s">
        <v>97</v>
      </c>
      <c r="G8" s="1" t="s">
        <v>98</v>
      </c>
      <c r="H8" s="88" t="s">
        <v>99</v>
      </c>
      <c r="I8" s="1" t="s">
        <v>100</v>
      </c>
      <c r="J8" s="1" t="s">
        <v>100</v>
      </c>
      <c r="K8" s="1" t="s">
        <v>100</v>
      </c>
      <c r="L8" s="132"/>
    </row>
    <row r="9" spans="1:23" s="4" customFormat="1">
      <c r="C9" s="44"/>
      <c r="G9" s="75"/>
      <c r="H9" s="76"/>
      <c r="L9" s="81"/>
    </row>
    <row r="10" spans="1:23" s="6" customFormat="1">
      <c r="A10" s="4"/>
      <c r="B10" s="6">
        <v>132</v>
      </c>
      <c r="C10" s="43" t="s">
        <v>101</v>
      </c>
      <c r="E10" s="217"/>
      <c r="F10" s="217"/>
      <c r="G10" s="217"/>
      <c r="H10" s="217"/>
      <c r="I10" s="217"/>
      <c r="J10" s="217"/>
      <c r="K10" s="217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pans="1:23" s="4" customFormat="1">
      <c r="B11" s="4">
        <v>132</v>
      </c>
      <c r="C11" s="44">
        <v>5705780</v>
      </c>
      <c r="D11" s="4" t="s">
        <v>102</v>
      </c>
      <c r="E11" s="109">
        <v>25000</v>
      </c>
      <c r="F11" s="109">
        <v>25000</v>
      </c>
      <c r="G11" s="234">
        <f t="shared" ref="G11" si="0">(I11-F11)/F11</f>
        <v>0</v>
      </c>
      <c r="H11" s="109">
        <f t="shared" ref="H11:H74" si="1">I11-F11</f>
        <v>0</v>
      </c>
      <c r="I11" s="109">
        <v>25000</v>
      </c>
      <c r="J11" s="109">
        <v>25000</v>
      </c>
      <c r="K11" s="109">
        <v>25000</v>
      </c>
      <c r="L11" s="109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pans="1:23" s="4" customFormat="1">
      <c r="C12" s="44"/>
      <c r="E12" s="80"/>
      <c r="F12" s="80"/>
      <c r="G12" s="234"/>
      <c r="H12" s="80">
        <f t="shared" si="1"/>
        <v>0</v>
      </c>
      <c r="I12" s="80"/>
      <c r="J12" s="80"/>
      <c r="K12" s="80"/>
      <c r="L12" s="94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pans="1:23" s="6" customFormat="1">
      <c r="A13" s="4" t="s">
        <v>103</v>
      </c>
      <c r="B13" s="6" t="s">
        <v>104</v>
      </c>
      <c r="C13" s="43" t="s">
        <v>105</v>
      </c>
      <c r="E13" s="225">
        <f>SUM(E11:E12)</f>
        <v>25000</v>
      </c>
      <c r="F13" s="225">
        <f>SUM(F11:F12)</f>
        <v>25000</v>
      </c>
      <c r="G13" s="233">
        <f>(I13-F13)/F13</f>
        <v>0</v>
      </c>
      <c r="H13" s="225">
        <f t="shared" si="1"/>
        <v>0</v>
      </c>
      <c r="I13" s="225">
        <f>SUM(I11:I12)</f>
        <v>25000</v>
      </c>
      <c r="J13" s="225">
        <f>SUM(J11:J12)</f>
        <v>25000</v>
      </c>
      <c r="K13" s="225">
        <f>SUM(K11:K12)</f>
        <v>25000</v>
      </c>
      <c r="L13" s="94">
        <f>SUM(I16,I22:I25,I46:I47,I59:I62,I79:I82,I92:I93,I124:I126,I139,I152,I157)</f>
        <v>595814.18999999994</v>
      </c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pans="1:23" s="4" customFormat="1">
      <c r="C14" s="44"/>
      <c r="E14" s="80"/>
      <c r="F14" s="80"/>
      <c r="G14" s="80"/>
      <c r="H14" s="80"/>
      <c r="I14" s="80"/>
      <c r="J14" s="80"/>
      <c r="K14" s="80"/>
      <c r="L14" s="123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</row>
    <row r="15" spans="1:23" s="6" customFormat="1">
      <c r="A15" s="4"/>
      <c r="B15" s="6">
        <v>114</v>
      </c>
      <c r="C15" s="43" t="s">
        <v>106</v>
      </c>
      <c r="E15" s="225"/>
      <c r="F15" s="225"/>
      <c r="G15" s="225"/>
      <c r="H15" s="225">
        <f t="shared" si="1"/>
        <v>0</v>
      </c>
      <c r="I15" s="225"/>
      <c r="J15" s="225"/>
      <c r="K15" s="225"/>
      <c r="L15" s="123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</row>
    <row r="16" spans="1:23" s="4" customFormat="1">
      <c r="B16" s="4">
        <v>114</v>
      </c>
      <c r="C16" s="44">
        <v>5105111</v>
      </c>
      <c r="D16" s="4" t="s">
        <v>107</v>
      </c>
      <c r="E16" s="94">
        <v>102</v>
      </c>
      <c r="F16" s="94">
        <v>102</v>
      </c>
      <c r="G16" s="234">
        <f t="shared" ref="G16" si="2">(I16-F16)/F16</f>
        <v>0</v>
      </c>
      <c r="H16" s="94">
        <f t="shared" si="1"/>
        <v>0</v>
      </c>
      <c r="I16" s="94">
        <v>102</v>
      </c>
      <c r="J16" s="94">
        <v>102</v>
      </c>
      <c r="K16" s="94">
        <v>102</v>
      </c>
      <c r="L16" s="94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</row>
    <row r="17" spans="1:23" s="4" customFormat="1">
      <c r="B17" s="4">
        <v>114</v>
      </c>
      <c r="C17" s="44">
        <v>5105110</v>
      </c>
      <c r="D17" s="4" t="s">
        <v>108</v>
      </c>
      <c r="E17" s="4">
        <v>0</v>
      </c>
      <c r="F17" s="4">
        <v>0</v>
      </c>
      <c r="G17" s="4">
        <v>0</v>
      </c>
      <c r="I17" s="111">
        <v>1000</v>
      </c>
      <c r="J17" s="111">
        <v>1000</v>
      </c>
      <c r="K17" s="111">
        <v>1000</v>
      </c>
      <c r="L17" s="94">
        <f>SUM(I16:I17,I22:I24,I46:I47,I59:I62,I79:I82,I92:I94,I124:I126,I139,I152,I157)</f>
        <v>596814.18999999994</v>
      </c>
      <c r="M17" s="262">
        <f>L17/L19</f>
        <v>0.57686995542577324</v>
      </c>
      <c r="N17" s="81"/>
      <c r="O17" s="81"/>
      <c r="P17" s="81"/>
      <c r="Q17" s="81"/>
      <c r="R17" s="81"/>
      <c r="S17" s="81"/>
      <c r="T17" s="81"/>
      <c r="U17" s="81"/>
      <c r="V17" s="81"/>
      <c r="W17" s="81"/>
    </row>
    <row r="18" spans="1:23" s="4" customFormat="1">
      <c r="B18" s="4">
        <v>114</v>
      </c>
      <c r="C18" s="44">
        <v>5705700</v>
      </c>
      <c r="D18" s="4" t="s">
        <v>109</v>
      </c>
      <c r="E18" s="80">
        <v>3200</v>
      </c>
      <c r="F18" s="80">
        <v>3200</v>
      </c>
      <c r="G18" s="234">
        <f>(I18-F18)/F18</f>
        <v>0.625</v>
      </c>
      <c r="H18" s="80">
        <f>I18-F18</f>
        <v>2000</v>
      </c>
      <c r="I18" s="80">
        <v>5200</v>
      </c>
      <c r="J18" s="80">
        <v>5200</v>
      </c>
      <c r="K18" s="80">
        <v>5200</v>
      </c>
      <c r="L18" s="94">
        <f>SUM(I13,I18,I26:I31,I36:I39,I48:I54,I63:I69,I83:I88,I95:I99,I103,I110:I120,I127:I132,I142:I145,I158:I162)</f>
        <v>437759</v>
      </c>
      <c r="M18" s="262">
        <f>L18/L19</f>
        <v>0.42313004457422682</v>
      </c>
      <c r="N18" s="81"/>
      <c r="O18" s="81"/>
      <c r="P18" s="81"/>
      <c r="Q18" s="81"/>
      <c r="R18" s="81"/>
      <c r="S18" s="81"/>
      <c r="T18" s="81"/>
      <c r="U18" s="81"/>
      <c r="V18" s="81"/>
      <c r="W18" s="81"/>
    </row>
    <row r="19" spans="1:23" s="6" customFormat="1">
      <c r="A19" s="4" t="s">
        <v>103</v>
      </c>
      <c r="B19" s="6" t="s">
        <v>104</v>
      </c>
      <c r="C19" s="43" t="s">
        <v>110</v>
      </c>
      <c r="E19" s="225">
        <f>SUM(E16:E18)</f>
        <v>3302</v>
      </c>
      <c r="F19" s="225">
        <f>SUM(F16:F18)</f>
        <v>3302</v>
      </c>
      <c r="G19" s="233">
        <f>(I19-F19)/F19</f>
        <v>0.90854027861901876</v>
      </c>
      <c r="H19" s="225">
        <f t="shared" si="1"/>
        <v>3000</v>
      </c>
      <c r="I19" s="225">
        <f>SUM(I16:I18)</f>
        <v>6302</v>
      </c>
      <c r="J19" s="225">
        <f>SUM(J16:J18)</f>
        <v>6302</v>
      </c>
      <c r="K19" s="225">
        <f>SUM(K16:K18)</f>
        <v>6302</v>
      </c>
      <c r="L19" s="94">
        <f>SUM(L17:L18)</f>
        <v>1034573.19</v>
      </c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</row>
    <row r="20" spans="1:23" s="4" customFormat="1">
      <c r="C20" s="44"/>
      <c r="E20" s="80"/>
      <c r="F20" s="80"/>
      <c r="G20" s="80"/>
      <c r="H20" s="80"/>
      <c r="I20" s="80"/>
      <c r="J20" s="80"/>
      <c r="K20" s="80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</row>
    <row r="21" spans="1:23" s="6" customFormat="1">
      <c r="A21" s="4"/>
      <c r="B21" s="6">
        <v>122</v>
      </c>
      <c r="C21" s="43" t="s">
        <v>111</v>
      </c>
      <c r="E21" s="225"/>
      <c r="F21" s="225"/>
      <c r="G21" s="225"/>
      <c r="H21" s="225"/>
      <c r="I21" s="225"/>
      <c r="J21" s="225"/>
      <c r="K21" s="225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</row>
    <row r="22" spans="1:23" s="4" customFormat="1">
      <c r="B22" s="4">
        <v>122</v>
      </c>
      <c r="C22" s="44">
        <v>5105111</v>
      </c>
      <c r="D22" s="4" t="s">
        <v>112</v>
      </c>
      <c r="E22" s="94">
        <v>12000</v>
      </c>
      <c r="F22" s="94">
        <v>12000</v>
      </c>
      <c r="G22" s="234">
        <f t="shared" ref="G22:G31" si="3">(I22-F22)/F22</f>
        <v>0</v>
      </c>
      <c r="H22" s="94">
        <f>I22-F22</f>
        <v>0</v>
      </c>
      <c r="I22" s="94">
        <v>12000</v>
      </c>
      <c r="J22" s="94">
        <v>12000</v>
      </c>
      <c r="K22" s="94">
        <v>12000</v>
      </c>
      <c r="L22" s="174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</row>
    <row r="23" spans="1:23" s="4" customFormat="1">
      <c r="B23" s="4">
        <v>122</v>
      </c>
      <c r="C23" s="44">
        <v>5105115</v>
      </c>
      <c r="D23" s="4" t="s">
        <v>113</v>
      </c>
      <c r="E23" s="94">
        <v>77000</v>
      </c>
      <c r="F23" s="94">
        <v>80000</v>
      </c>
      <c r="G23" s="234">
        <f t="shared" si="3"/>
        <v>0.125</v>
      </c>
      <c r="H23" s="94">
        <f t="shared" si="1"/>
        <v>10000</v>
      </c>
      <c r="I23" s="94">
        <v>90000</v>
      </c>
      <c r="J23" s="94">
        <v>90000</v>
      </c>
      <c r="K23" s="94">
        <v>90000</v>
      </c>
      <c r="L23" s="174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</row>
    <row r="24" spans="1:23" s="4" customFormat="1">
      <c r="B24" s="4">
        <v>122</v>
      </c>
      <c r="C24" s="44">
        <v>5105110</v>
      </c>
      <c r="D24" s="4" t="s">
        <v>114</v>
      </c>
      <c r="E24" s="94">
        <f>26.79*24*52</f>
        <v>33433.919999999998</v>
      </c>
      <c r="F24" s="94">
        <v>8589</v>
      </c>
      <c r="G24" s="234">
        <f t="shared" si="3"/>
        <v>0.82762836185819066</v>
      </c>
      <c r="H24" s="94">
        <f t="shared" si="1"/>
        <v>7108.5</v>
      </c>
      <c r="I24" s="94">
        <f>13*23*52.5</f>
        <v>15697.5</v>
      </c>
      <c r="J24" s="94">
        <f>13*23*52.5</f>
        <v>15697.5</v>
      </c>
      <c r="K24" s="94">
        <f>13*23*52.5</f>
        <v>15697.5</v>
      </c>
      <c r="L24" s="20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</row>
    <row r="25" spans="1:23" s="4" customFormat="1">
      <c r="B25" s="4">
        <v>122</v>
      </c>
      <c r="C25" s="44"/>
      <c r="D25" s="4" t="s">
        <v>115</v>
      </c>
      <c r="E25" s="94">
        <v>0</v>
      </c>
      <c r="F25" s="94">
        <v>0</v>
      </c>
      <c r="G25" s="234"/>
      <c r="H25" s="94">
        <f t="shared" si="1"/>
        <v>0</v>
      </c>
      <c r="I25" s="94">
        <v>0</v>
      </c>
      <c r="J25" s="94">
        <v>0</v>
      </c>
      <c r="K25" s="94">
        <v>0</v>
      </c>
      <c r="L25" s="174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</row>
    <row r="26" spans="1:23" s="4" customFormat="1">
      <c r="B26" s="4">
        <v>122</v>
      </c>
      <c r="C26" s="44">
        <v>5705700</v>
      </c>
      <c r="D26" s="4" t="s">
        <v>116</v>
      </c>
      <c r="E26" s="94">
        <v>2000</v>
      </c>
      <c r="F26" s="94">
        <v>2000</v>
      </c>
      <c r="G26" s="234">
        <f t="shared" si="3"/>
        <v>1</v>
      </c>
      <c r="H26" s="94">
        <f t="shared" si="1"/>
        <v>2000</v>
      </c>
      <c r="I26" s="94">
        <v>4000</v>
      </c>
      <c r="J26" s="94">
        <v>4000</v>
      </c>
      <c r="K26" s="94">
        <v>4000</v>
      </c>
      <c r="L26" s="174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</row>
    <row r="27" spans="1:23" s="4" customFormat="1">
      <c r="B27" s="4">
        <v>122</v>
      </c>
      <c r="C27" s="44"/>
      <c r="D27" s="4" t="s">
        <v>117</v>
      </c>
      <c r="E27" s="94"/>
      <c r="F27" s="94"/>
      <c r="G27" s="234"/>
      <c r="H27" s="94">
        <f t="shared" si="1"/>
        <v>0</v>
      </c>
      <c r="I27" s="94"/>
      <c r="J27" s="94"/>
      <c r="K27" s="94"/>
      <c r="L27" s="174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</row>
    <row r="28" spans="1:23" s="4" customFormat="1">
      <c r="B28" s="4">
        <v>122</v>
      </c>
      <c r="C28" s="44">
        <v>5705700</v>
      </c>
      <c r="D28" s="4" t="s">
        <v>118</v>
      </c>
      <c r="E28" s="94">
        <v>4000</v>
      </c>
      <c r="F28" s="94">
        <v>5250</v>
      </c>
      <c r="G28" s="234">
        <f t="shared" si="3"/>
        <v>0.14285714285714285</v>
      </c>
      <c r="H28" s="94">
        <f t="shared" si="1"/>
        <v>750</v>
      </c>
      <c r="I28" s="94">
        <v>6000</v>
      </c>
      <c r="J28" s="94">
        <v>6000</v>
      </c>
      <c r="K28" s="94">
        <v>6000</v>
      </c>
      <c r="L28" s="174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</row>
    <row r="29" spans="1:23" s="4" customFormat="1">
      <c r="B29" s="4">
        <v>122</v>
      </c>
      <c r="C29" s="44">
        <v>5705711</v>
      </c>
      <c r="D29" s="4" t="s">
        <v>119</v>
      </c>
      <c r="E29" s="94">
        <v>100</v>
      </c>
      <c r="F29" s="94">
        <v>100</v>
      </c>
      <c r="G29" s="234">
        <f t="shared" si="3"/>
        <v>9</v>
      </c>
      <c r="H29" s="94">
        <f t="shared" si="1"/>
        <v>900</v>
      </c>
      <c r="I29" s="94">
        <v>1000</v>
      </c>
      <c r="J29" s="94">
        <v>1000</v>
      </c>
      <c r="K29" s="94">
        <v>1000</v>
      </c>
      <c r="L29" s="174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</row>
    <row r="30" spans="1:23" s="4" customFormat="1">
      <c r="B30" s="4">
        <v>122</v>
      </c>
      <c r="C30" s="44">
        <v>5705731</v>
      </c>
      <c r="D30" s="4" t="s">
        <v>120</v>
      </c>
      <c r="E30" s="94">
        <v>1500</v>
      </c>
      <c r="F30" s="94">
        <v>3000</v>
      </c>
      <c r="G30" s="234">
        <f t="shared" si="3"/>
        <v>0</v>
      </c>
      <c r="H30" s="94">
        <f t="shared" si="1"/>
        <v>0</v>
      </c>
      <c r="I30" s="94">
        <v>3000</v>
      </c>
      <c r="J30" s="94">
        <v>3000</v>
      </c>
      <c r="K30" s="94">
        <v>3000</v>
      </c>
      <c r="L30" s="174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</row>
    <row r="31" spans="1:23" s="4" customFormat="1">
      <c r="B31" s="4">
        <v>122</v>
      </c>
      <c r="C31" s="44"/>
      <c r="D31" s="4" t="s">
        <v>121</v>
      </c>
      <c r="E31" s="94">
        <v>3000</v>
      </c>
      <c r="F31" s="94">
        <v>2000</v>
      </c>
      <c r="G31" s="234">
        <f t="shared" si="3"/>
        <v>-0.25</v>
      </c>
      <c r="H31" s="94">
        <f t="shared" si="1"/>
        <v>-500</v>
      </c>
      <c r="I31" s="94">
        <v>1500</v>
      </c>
      <c r="J31" s="94">
        <v>1500</v>
      </c>
      <c r="K31" s="94">
        <v>1500</v>
      </c>
      <c r="L31" s="174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</row>
    <row r="32" spans="1:23" s="4" customFormat="1">
      <c r="B32" s="4">
        <v>122</v>
      </c>
      <c r="C32" s="44"/>
      <c r="D32" s="81" t="s">
        <v>122</v>
      </c>
      <c r="E32" s="94">
        <v>0</v>
      </c>
      <c r="F32" s="94">
        <v>0</v>
      </c>
      <c r="G32" s="234"/>
      <c r="H32" s="94">
        <f t="shared" si="1"/>
        <v>0</v>
      </c>
      <c r="I32" s="94">
        <v>0</v>
      </c>
      <c r="J32" s="94">
        <v>0</v>
      </c>
      <c r="K32" s="94">
        <v>0</v>
      </c>
      <c r="L32" s="147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</row>
    <row r="33" spans="1:23" s="6" customFormat="1">
      <c r="A33" s="4" t="s">
        <v>103</v>
      </c>
      <c r="B33" s="6" t="s">
        <v>104</v>
      </c>
      <c r="C33" s="43" t="s">
        <v>123</v>
      </c>
      <c r="E33" s="226">
        <f>SUM(E22:E32)</f>
        <v>133033.91999999998</v>
      </c>
      <c r="F33" s="226">
        <f>SUM(F22:F32)</f>
        <v>112939</v>
      </c>
      <c r="G33" s="235">
        <f>(I33-F33)/F33</f>
        <v>0.17937559213380674</v>
      </c>
      <c r="H33" s="226">
        <f t="shared" si="1"/>
        <v>20258.5</v>
      </c>
      <c r="I33" s="226">
        <f>SUM(I22:I32)</f>
        <v>133197.5</v>
      </c>
      <c r="J33" s="226">
        <f>SUM(J22:J32)</f>
        <v>133197.5</v>
      </c>
      <c r="K33" s="226">
        <f>SUM(K22:K32)</f>
        <v>133197.5</v>
      </c>
      <c r="L33" s="174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</row>
    <row r="34" spans="1:23" s="4" customFormat="1">
      <c r="C34" s="44"/>
      <c r="E34" s="80"/>
      <c r="F34" s="80"/>
      <c r="G34" s="80"/>
      <c r="H34" s="80"/>
      <c r="I34" s="80"/>
      <c r="J34" s="80"/>
      <c r="K34" s="80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</row>
    <row r="35" spans="1:23" s="6" customFormat="1">
      <c r="A35" s="4"/>
      <c r="B35" s="6">
        <v>131</v>
      </c>
      <c r="C35" s="43" t="s">
        <v>124</v>
      </c>
      <c r="E35" s="225"/>
      <c r="F35" s="225"/>
      <c r="G35" s="225"/>
      <c r="H35" s="225"/>
      <c r="I35" s="225"/>
      <c r="J35" s="225"/>
      <c r="K35" s="225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</row>
    <row r="36" spans="1:23" s="4" customFormat="1">
      <c r="B36" s="4">
        <v>131</v>
      </c>
      <c r="C36" s="44">
        <v>5705731</v>
      </c>
      <c r="D36" s="4" t="s">
        <v>125</v>
      </c>
      <c r="E36" s="94">
        <v>180</v>
      </c>
      <c r="F36" s="94">
        <v>180</v>
      </c>
      <c r="G36" s="234">
        <f t="shared" ref="G36:G39" si="4">(I36-F36)/F36</f>
        <v>0</v>
      </c>
      <c r="H36" s="249">
        <f t="shared" si="1"/>
        <v>0</v>
      </c>
      <c r="I36" s="94">
        <v>180</v>
      </c>
      <c r="J36" s="94">
        <v>180</v>
      </c>
      <c r="K36" s="94">
        <v>180</v>
      </c>
      <c r="L36" s="94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</row>
    <row r="37" spans="1:23" s="4" customFormat="1">
      <c r="B37" s="4">
        <v>131</v>
      </c>
      <c r="C37" s="44">
        <v>5705731</v>
      </c>
      <c r="D37" s="4" t="s">
        <v>126</v>
      </c>
      <c r="E37" s="94">
        <v>100</v>
      </c>
      <c r="F37" s="94">
        <v>100</v>
      </c>
      <c r="G37" s="234">
        <f t="shared" si="4"/>
        <v>0</v>
      </c>
      <c r="H37" s="249">
        <f t="shared" si="1"/>
        <v>0</v>
      </c>
      <c r="I37" s="94">
        <v>100</v>
      </c>
      <c r="J37" s="94">
        <v>100</v>
      </c>
      <c r="K37" s="94">
        <v>100</v>
      </c>
      <c r="L37" s="94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</row>
    <row r="38" spans="1:23" s="4" customFormat="1">
      <c r="B38" s="4">
        <v>131</v>
      </c>
      <c r="C38" s="44">
        <v>5705713</v>
      </c>
      <c r="D38" s="4" t="s">
        <v>127</v>
      </c>
      <c r="E38" s="94">
        <v>1000</v>
      </c>
      <c r="F38" s="94">
        <v>1000</v>
      </c>
      <c r="G38" s="234">
        <f t="shared" si="4"/>
        <v>0</v>
      </c>
      <c r="H38" s="249">
        <f t="shared" si="1"/>
        <v>0</v>
      </c>
      <c r="I38" s="94">
        <v>1000</v>
      </c>
      <c r="J38" s="94">
        <v>1000</v>
      </c>
      <c r="K38" s="94">
        <v>1000</v>
      </c>
      <c r="L38" s="94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</row>
    <row r="39" spans="1:23" s="4" customFormat="1">
      <c r="B39" s="4">
        <v>131</v>
      </c>
      <c r="C39" s="44">
        <v>5705420</v>
      </c>
      <c r="D39" s="4" t="s">
        <v>128</v>
      </c>
      <c r="E39" s="94">
        <v>50</v>
      </c>
      <c r="F39" s="94">
        <v>50</v>
      </c>
      <c r="G39" s="234">
        <f t="shared" si="4"/>
        <v>0</v>
      </c>
      <c r="H39" s="249">
        <f t="shared" si="1"/>
        <v>0</v>
      </c>
      <c r="I39" s="94">
        <v>50</v>
      </c>
      <c r="J39" s="94">
        <v>50</v>
      </c>
      <c r="K39" s="94">
        <v>50</v>
      </c>
      <c r="L39" s="94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</row>
    <row r="40" spans="1:23" s="4" customFormat="1">
      <c r="G40" s="234"/>
      <c r="H40" s="250">
        <f t="shared" si="1"/>
        <v>0</v>
      </c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</row>
    <row r="41" spans="1:23" s="4" customFormat="1">
      <c r="C41" s="44"/>
      <c r="E41" s="94"/>
      <c r="F41" s="94"/>
      <c r="G41" s="234"/>
      <c r="H41" s="249">
        <f t="shared" si="1"/>
        <v>0</v>
      </c>
      <c r="I41" s="94"/>
      <c r="J41" s="94"/>
      <c r="K41" s="94"/>
      <c r="L41" s="94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</row>
    <row r="42" spans="1:23" s="6" customFormat="1">
      <c r="A42" s="4" t="s">
        <v>103</v>
      </c>
      <c r="B42" s="6" t="s">
        <v>104</v>
      </c>
      <c r="C42" s="43" t="s">
        <v>129</v>
      </c>
      <c r="E42" s="225">
        <f>SUM(E36:E41)</f>
        <v>1330</v>
      </c>
      <c r="F42" s="225">
        <f>SUM(F36:F41)</f>
        <v>1330</v>
      </c>
      <c r="G42" s="233">
        <f>(I42-F42)/F42</f>
        <v>0</v>
      </c>
      <c r="H42" s="225">
        <f t="shared" si="1"/>
        <v>0</v>
      </c>
      <c r="I42" s="225">
        <f>SUM(I36:I41)</f>
        <v>1330</v>
      </c>
      <c r="J42" s="225">
        <f>SUM(J36:J41)</f>
        <v>1330</v>
      </c>
      <c r="K42" s="225">
        <f>SUM(K36:K41)</f>
        <v>1330</v>
      </c>
      <c r="L42" s="94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</row>
    <row r="43" spans="1:23" s="4" customFormat="1">
      <c r="C43" s="44"/>
      <c r="E43" s="80"/>
      <c r="F43" s="80"/>
      <c r="G43" s="80"/>
      <c r="H43" s="80"/>
      <c r="I43" s="80"/>
      <c r="J43" s="80"/>
      <c r="K43" s="80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</row>
    <row r="44" spans="1:23" s="4" customFormat="1">
      <c r="C44" s="44"/>
      <c r="E44" s="80"/>
      <c r="F44" s="80"/>
      <c r="G44" s="80"/>
      <c r="H44" s="80"/>
      <c r="I44" s="80"/>
      <c r="J44" s="80"/>
      <c r="K44" s="80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</row>
    <row r="45" spans="1:23" s="6" customFormat="1">
      <c r="A45" s="4"/>
      <c r="B45" s="6">
        <v>135</v>
      </c>
      <c r="C45" s="43" t="s">
        <v>130</v>
      </c>
      <c r="E45" s="225"/>
      <c r="F45" s="225"/>
      <c r="G45" s="225"/>
      <c r="H45" s="225"/>
      <c r="I45" s="225"/>
      <c r="J45" s="225"/>
      <c r="K45" s="225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</row>
    <row r="46" spans="1:23" s="4" customFormat="1">
      <c r="B46" s="4">
        <v>135</v>
      </c>
      <c r="C46" s="44">
        <v>5105115</v>
      </c>
      <c r="D46" s="4" t="s">
        <v>131</v>
      </c>
      <c r="E46" s="94">
        <v>59500</v>
      </c>
      <c r="F46" s="94">
        <v>70000</v>
      </c>
      <c r="G46" s="234">
        <f t="shared" ref="G46:G54" si="5">(I46-F46)/F46</f>
        <v>8.5714285714285715E-2</v>
      </c>
      <c r="H46" s="94">
        <f t="shared" si="1"/>
        <v>6000</v>
      </c>
      <c r="I46" s="94">
        <v>76000</v>
      </c>
      <c r="J46" s="94">
        <v>76000</v>
      </c>
      <c r="K46" s="94">
        <v>76000</v>
      </c>
      <c r="L46" s="94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</row>
    <row r="47" spans="1:23" s="4" customFormat="1">
      <c r="B47" s="4">
        <v>135</v>
      </c>
      <c r="C47" s="44">
        <v>5105115</v>
      </c>
      <c r="D47" s="4" t="s">
        <v>132</v>
      </c>
      <c r="E47" s="94">
        <v>25000</v>
      </c>
      <c r="F47" s="94">
        <v>5368.125</v>
      </c>
      <c r="G47" s="234">
        <f t="shared" si="5"/>
        <v>7.4498777506112468</v>
      </c>
      <c r="H47" s="94">
        <f t="shared" si="1"/>
        <v>39991.875</v>
      </c>
      <c r="I47" s="94">
        <f>27*52.5*32</f>
        <v>45360</v>
      </c>
      <c r="J47" s="94">
        <f>27*52.5*32</f>
        <v>45360</v>
      </c>
      <c r="K47" s="94">
        <f>27*52.5*32</f>
        <v>45360</v>
      </c>
      <c r="L47" s="94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</row>
    <row r="48" spans="1:23" s="4" customFormat="1">
      <c r="B48" s="4">
        <v>135</v>
      </c>
      <c r="C48" s="44">
        <v>5705301</v>
      </c>
      <c r="D48" s="4" t="s">
        <v>133</v>
      </c>
      <c r="E48" s="94">
        <v>29000</v>
      </c>
      <c r="F48" s="94">
        <v>40000</v>
      </c>
      <c r="G48" s="234">
        <f t="shared" si="5"/>
        <v>0.5</v>
      </c>
      <c r="H48" s="94">
        <f t="shared" si="1"/>
        <v>20000</v>
      </c>
      <c r="I48" s="94">
        <v>60000</v>
      </c>
      <c r="J48" s="94">
        <v>60000</v>
      </c>
      <c r="K48" s="94">
        <v>60000</v>
      </c>
      <c r="L48" s="94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</row>
    <row r="49" spans="1:23" s="4" customFormat="1">
      <c r="B49" s="4">
        <v>135</v>
      </c>
      <c r="C49" s="44">
        <v>5705301</v>
      </c>
      <c r="D49" s="4" t="s">
        <v>134</v>
      </c>
      <c r="E49" s="94">
        <v>5000</v>
      </c>
      <c r="F49" s="94">
        <v>5000</v>
      </c>
      <c r="G49" s="234">
        <f t="shared" si="5"/>
        <v>0</v>
      </c>
      <c r="H49" s="94">
        <f t="shared" si="1"/>
        <v>0</v>
      </c>
      <c r="I49" s="94">
        <v>5000</v>
      </c>
      <c r="J49" s="94">
        <v>5000</v>
      </c>
      <c r="K49" s="94">
        <v>5000</v>
      </c>
      <c r="L49" s="94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</row>
    <row r="50" spans="1:23" s="4" customFormat="1">
      <c r="B50" s="4">
        <v>135</v>
      </c>
      <c r="C50" s="44">
        <v>5705700</v>
      </c>
      <c r="D50" s="4" t="s">
        <v>118</v>
      </c>
      <c r="E50" s="94">
        <v>750</v>
      </c>
      <c r="F50" s="94">
        <v>750</v>
      </c>
      <c r="G50" s="234">
        <f t="shared" si="5"/>
        <v>0</v>
      </c>
      <c r="H50" s="94">
        <f t="shared" si="1"/>
        <v>0</v>
      </c>
      <c r="I50" s="94">
        <v>750</v>
      </c>
      <c r="J50" s="94">
        <v>750</v>
      </c>
      <c r="K50" s="94">
        <v>750</v>
      </c>
      <c r="L50" s="94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</row>
    <row r="51" spans="1:23" s="4" customFormat="1">
      <c r="B51" s="4">
        <v>135</v>
      </c>
      <c r="C51" s="44">
        <v>5705711</v>
      </c>
      <c r="D51" s="4" t="s">
        <v>135</v>
      </c>
      <c r="E51" s="94">
        <v>100</v>
      </c>
      <c r="F51" s="94">
        <v>100</v>
      </c>
      <c r="G51" s="234">
        <f t="shared" si="5"/>
        <v>0</v>
      </c>
      <c r="H51" s="94">
        <f t="shared" si="1"/>
        <v>0</v>
      </c>
      <c r="I51" s="94">
        <v>100</v>
      </c>
      <c r="J51" s="94">
        <v>100</v>
      </c>
      <c r="K51" s="94">
        <v>100</v>
      </c>
      <c r="L51" s="94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</row>
    <row r="52" spans="1:23" s="4" customFormat="1">
      <c r="B52" s="4">
        <v>135</v>
      </c>
      <c r="C52" s="44">
        <v>5705731</v>
      </c>
      <c r="D52" s="4" t="s">
        <v>120</v>
      </c>
      <c r="E52" s="94">
        <v>150</v>
      </c>
      <c r="F52" s="94">
        <v>150</v>
      </c>
      <c r="G52" s="234">
        <f t="shared" si="5"/>
        <v>0</v>
      </c>
      <c r="H52" s="94">
        <f t="shared" si="1"/>
        <v>0</v>
      </c>
      <c r="I52" s="94">
        <v>150</v>
      </c>
      <c r="J52" s="94">
        <v>150</v>
      </c>
      <c r="K52" s="94">
        <v>150</v>
      </c>
      <c r="L52" s="94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</row>
    <row r="53" spans="1:23" s="4" customFormat="1">
      <c r="B53" s="4">
        <v>135</v>
      </c>
      <c r="C53" s="44">
        <v>5705700</v>
      </c>
      <c r="D53" s="4" t="s">
        <v>136</v>
      </c>
      <c r="E53" s="94">
        <v>100</v>
      </c>
      <c r="F53" s="94">
        <v>100</v>
      </c>
      <c r="G53" s="234">
        <f>(I53-F53)/F53</f>
        <v>0</v>
      </c>
      <c r="H53" s="94">
        <f t="shared" si="1"/>
        <v>0</v>
      </c>
      <c r="I53" s="94">
        <v>100</v>
      </c>
      <c r="J53" s="94">
        <v>100</v>
      </c>
      <c r="K53" s="94">
        <v>100</v>
      </c>
      <c r="L53" s="94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</row>
    <row r="54" spans="1:23" s="4" customFormat="1">
      <c r="B54" s="4">
        <v>135</v>
      </c>
      <c r="C54" s="44">
        <v>5705700</v>
      </c>
      <c r="D54" s="4" t="s">
        <v>137</v>
      </c>
      <c r="E54" s="94">
        <v>1500</v>
      </c>
      <c r="F54" s="94">
        <v>1500</v>
      </c>
      <c r="G54" s="234">
        <f t="shared" si="5"/>
        <v>0</v>
      </c>
      <c r="H54" s="94">
        <f t="shared" si="1"/>
        <v>0</v>
      </c>
      <c r="I54" s="94">
        <v>1500</v>
      </c>
      <c r="J54" s="94">
        <v>1500</v>
      </c>
      <c r="K54" s="94">
        <v>1500</v>
      </c>
      <c r="L54" s="94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</row>
    <row r="55" spans="1:23" s="4" customFormat="1">
      <c r="B55" s="4">
        <v>135</v>
      </c>
      <c r="C55" s="44" t="s">
        <v>138</v>
      </c>
      <c r="D55" s="4" t="s">
        <v>139</v>
      </c>
      <c r="G55" s="234"/>
      <c r="H55" s="4">
        <f t="shared" si="1"/>
        <v>0</v>
      </c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</row>
    <row r="56" spans="1:23" s="6" customFormat="1">
      <c r="A56" s="4" t="s">
        <v>103</v>
      </c>
      <c r="B56" s="6" t="s">
        <v>104</v>
      </c>
      <c r="C56" s="43" t="s">
        <v>140</v>
      </c>
      <c r="E56" s="225">
        <f>SUM(E46:E55)</f>
        <v>121100</v>
      </c>
      <c r="F56" s="225">
        <f>SUM(F46:F55)</f>
        <v>122968.125</v>
      </c>
      <c r="G56" s="233">
        <f>(I56-F56)/F56</f>
        <v>0.5366583819994003</v>
      </c>
      <c r="H56" s="225">
        <f t="shared" si="1"/>
        <v>65991.875</v>
      </c>
      <c r="I56" s="225">
        <f>SUM(I46:I55)</f>
        <v>188960</v>
      </c>
      <c r="J56" s="225">
        <f>SUM(J46:J55)</f>
        <v>188960</v>
      </c>
      <c r="K56" s="225">
        <f>SUM(K46:K55)</f>
        <v>188960</v>
      </c>
      <c r="L56" s="94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</row>
    <row r="57" spans="1:23" s="4" customFormat="1">
      <c r="D57" s="44"/>
      <c r="E57" s="80"/>
      <c r="F57" s="80"/>
      <c r="G57" s="80"/>
      <c r="H57" s="80"/>
      <c r="I57" s="80"/>
      <c r="J57" s="80"/>
      <c r="K57" s="80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</row>
    <row r="58" spans="1:23" s="6" customFormat="1">
      <c r="A58" s="4"/>
      <c r="B58" s="6">
        <v>141</v>
      </c>
      <c r="C58" s="43" t="s">
        <v>141</v>
      </c>
      <c r="E58" s="225"/>
      <c r="F58" s="225"/>
      <c r="G58" s="225"/>
      <c r="H58" s="225"/>
      <c r="I58" s="225"/>
      <c r="J58" s="225"/>
      <c r="K58" s="225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</row>
    <row r="59" spans="1:23" s="4" customFormat="1">
      <c r="B59" s="4">
        <v>141</v>
      </c>
      <c r="C59" s="44">
        <v>5105111</v>
      </c>
      <c r="D59" s="4" t="s">
        <v>142</v>
      </c>
      <c r="E59" s="94">
        <v>12240</v>
      </c>
      <c r="F59" s="94">
        <v>12546</v>
      </c>
      <c r="G59" s="234">
        <f t="shared" ref="G59:G69" si="6">(I59-F59)/F59</f>
        <v>2.0006376534353578E-2</v>
      </c>
      <c r="H59" s="94">
        <f t="shared" si="1"/>
        <v>251</v>
      </c>
      <c r="I59" s="94">
        <v>12797</v>
      </c>
      <c r="J59" s="94">
        <v>12797</v>
      </c>
      <c r="K59" s="94">
        <v>12797</v>
      </c>
      <c r="L59" s="94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</row>
    <row r="60" spans="1:23" s="73" customFormat="1">
      <c r="B60" s="4">
        <v>141</v>
      </c>
      <c r="C60" s="44">
        <v>5105115</v>
      </c>
      <c r="D60" s="4" t="s">
        <v>143</v>
      </c>
      <c r="E60" s="94">
        <v>36000</v>
      </c>
      <c r="F60" s="94">
        <v>66000</v>
      </c>
      <c r="G60" s="234">
        <f t="shared" si="6"/>
        <v>2.2727272727272728E-2</v>
      </c>
      <c r="H60" s="94">
        <f t="shared" si="1"/>
        <v>1500</v>
      </c>
      <c r="I60" s="94">
        <v>67500</v>
      </c>
      <c r="J60" s="94">
        <v>67500</v>
      </c>
      <c r="K60" s="94">
        <v>67500</v>
      </c>
      <c r="L60" s="113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</row>
    <row r="61" spans="1:23" s="4" customFormat="1">
      <c r="B61" s="4">
        <v>141</v>
      </c>
      <c r="C61" s="44">
        <v>5105110</v>
      </c>
      <c r="D61" s="4" t="s">
        <v>114</v>
      </c>
      <c r="E61" s="94">
        <v>10353</v>
      </c>
      <c r="F61" s="94">
        <v>10736.25</v>
      </c>
      <c r="G61" s="234">
        <f t="shared" si="6"/>
        <v>0.11770869717079986</v>
      </c>
      <c r="H61" s="94">
        <f t="shared" si="1"/>
        <v>1263.75</v>
      </c>
      <c r="I61" s="94">
        <v>12000</v>
      </c>
      <c r="J61" s="94">
        <v>12000</v>
      </c>
      <c r="K61" s="94">
        <v>12000</v>
      </c>
      <c r="L61" s="94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</row>
    <row r="62" spans="1:23" s="4" customFormat="1">
      <c r="B62" s="4">
        <v>141</v>
      </c>
      <c r="C62" s="44"/>
      <c r="D62" s="4" t="s">
        <v>115</v>
      </c>
      <c r="E62" s="94">
        <v>0</v>
      </c>
      <c r="F62" s="94">
        <v>0</v>
      </c>
      <c r="G62" s="234"/>
      <c r="H62" s="94">
        <f t="shared" si="1"/>
        <v>0</v>
      </c>
      <c r="I62" s="94">
        <v>0</v>
      </c>
      <c r="J62" s="94">
        <v>0</v>
      </c>
      <c r="K62" s="94">
        <v>0</v>
      </c>
      <c r="L62" s="94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</row>
    <row r="63" spans="1:23" s="4" customFormat="1">
      <c r="B63" s="4">
        <v>141</v>
      </c>
      <c r="C63" s="44">
        <v>5705700</v>
      </c>
      <c r="D63" s="4" t="s">
        <v>25</v>
      </c>
      <c r="E63" s="94">
        <v>10835</v>
      </c>
      <c r="F63" s="94">
        <v>8835</v>
      </c>
      <c r="G63" s="234">
        <f t="shared" si="6"/>
        <v>1.0186757215619695</v>
      </c>
      <c r="H63" s="94">
        <f t="shared" si="1"/>
        <v>9000</v>
      </c>
      <c r="I63" s="94">
        <v>17835</v>
      </c>
      <c r="J63" s="94">
        <v>17835</v>
      </c>
      <c r="K63" s="94">
        <v>17835</v>
      </c>
      <c r="L63" s="94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</row>
    <row r="64" spans="1:23" s="4" customFormat="1">
      <c r="B64" s="4">
        <v>141</v>
      </c>
      <c r="C64" s="44">
        <v>5705305</v>
      </c>
      <c r="D64" s="4" t="s">
        <v>144</v>
      </c>
      <c r="E64" s="94">
        <v>7500</v>
      </c>
      <c r="F64" s="94">
        <v>5500</v>
      </c>
      <c r="G64" s="234">
        <f t="shared" si="6"/>
        <v>0</v>
      </c>
      <c r="H64" s="94">
        <f t="shared" si="1"/>
        <v>0</v>
      </c>
      <c r="I64" s="94">
        <v>5500</v>
      </c>
      <c r="J64" s="94">
        <v>5500</v>
      </c>
      <c r="K64" s="94">
        <v>5500</v>
      </c>
      <c r="L64" s="94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</row>
    <row r="65" spans="1:23" s="4" customFormat="1">
      <c r="B65" s="4">
        <v>141</v>
      </c>
      <c r="C65" s="44">
        <v>5705715</v>
      </c>
      <c r="D65" s="4" t="s">
        <v>145</v>
      </c>
      <c r="E65" s="94">
        <v>2500</v>
      </c>
      <c r="F65" s="94">
        <v>2500</v>
      </c>
      <c r="G65" s="234">
        <f t="shared" si="6"/>
        <v>0</v>
      </c>
      <c r="H65" s="94">
        <f t="shared" si="1"/>
        <v>0</v>
      </c>
      <c r="I65" s="94">
        <v>2500</v>
      </c>
      <c r="J65" s="94">
        <v>2500</v>
      </c>
      <c r="K65" s="94">
        <v>2500</v>
      </c>
      <c r="L65" s="94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</row>
    <row r="66" spans="1:23" s="4" customFormat="1">
      <c r="B66" s="4">
        <v>141</v>
      </c>
      <c r="C66" s="44">
        <v>5105116</v>
      </c>
      <c r="D66" s="4" t="s">
        <v>146</v>
      </c>
      <c r="E66" s="94">
        <v>6000</v>
      </c>
      <c r="F66" s="94">
        <v>2000</v>
      </c>
      <c r="G66" s="234">
        <f t="shared" si="6"/>
        <v>0</v>
      </c>
      <c r="H66" s="94">
        <f t="shared" si="1"/>
        <v>0</v>
      </c>
      <c r="I66" s="94">
        <v>2000</v>
      </c>
      <c r="J66" s="94">
        <v>2000</v>
      </c>
      <c r="K66" s="94">
        <v>2000</v>
      </c>
      <c r="L66" s="94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</row>
    <row r="67" spans="1:23" s="4" customFormat="1">
      <c r="B67" s="4">
        <v>141</v>
      </c>
      <c r="C67" s="44">
        <v>5705249</v>
      </c>
      <c r="D67" s="4" t="s">
        <v>147</v>
      </c>
      <c r="E67" s="94">
        <v>16000</v>
      </c>
      <c r="F67" s="94">
        <v>16500</v>
      </c>
      <c r="G67" s="234">
        <f t="shared" si="6"/>
        <v>6.6303030303030308E-2</v>
      </c>
      <c r="H67" s="94">
        <f t="shared" si="1"/>
        <v>1094</v>
      </c>
      <c r="I67" s="94">
        <v>17594</v>
      </c>
      <c r="J67" s="94">
        <v>17594</v>
      </c>
      <c r="K67" s="94">
        <v>17594</v>
      </c>
      <c r="L67" s="94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</row>
    <row r="68" spans="1:23" s="4" customFormat="1">
      <c r="B68" s="4">
        <v>141</v>
      </c>
      <c r="C68" s="44"/>
      <c r="D68" s="4" t="s">
        <v>118</v>
      </c>
      <c r="E68" s="94"/>
      <c r="F68" s="94"/>
      <c r="G68" s="234"/>
      <c r="H68" s="94">
        <f t="shared" si="1"/>
        <v>0</v>
      </c>
      <c r="I68" s="94"/>
      <c r="J68" s="94"/>
      <c r="K68" s="94"/>
      <c r="L68" s="94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</row>
    <row r="69" spans="1:23" s="6" customFormat="1">
      <c r="A69" s="4"/>
      <c r="B69" s="4">
        <v>141</v>
      </c>
      <c r="C69" s="44">
        <v>5705304</v>
      </c>
      <c r="D69" s="4" t="s">
        <v>148</v>
      </c>
      <c r="E69" s="94">
        <v>7680</v>
      </c>
      <c r="F69" s="94">
        <v>8680</v>
      </c>
      <c r="G69" s="234">
        <f t="shared" si="6"/>
        <v>0.13248847926267282</v>
      </c>
      <c r="H69" s="94">
        <f t="shared" si="1"/>
        <v>1150</v>
      </c>
      <c r="I69" s="94">
        <v>9830</v>
      </c>
      <c r="J69" s="94">
        <v>9830</v>
      </c>
      <c r="K69" s="94">
        <v>9830</v>
      </c>
      <c r="L69" s="94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</row>
    <row r="70" spans="1:23" s="4" customFormat="1">
      <c r="B70" s="4">
        <v>141</v>
      </c>
      <c r="C70" s="44"/>
      <c r="D70" s="4" t="s">
        <v>109</v>
      </c>
      <c r="E70" s="94"/>
      <c r="F70" s="94"/>
      <c r="G70" s="234"/>
      <c r="H70" s="94">
        <f t="shared" si="1"/>
        <v>0</v>
      </c>
      <c r="I70" s="94"/>
      <c r="J70" s="94"/>
      <c r="K70" s="94"/>
      <c r="L70" s="94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</row>
    <row r="71" spans="1:23" s="6" customFormat="1">
      <c r="A71" s="4"/>
      <c r="B71" s="4">
        <v>141</v>
      </c>
      <c r="C71" s="44"/>
      <c r="D71" s="4" t="s">
        <v>120</v>
      </c>
      <c r="E71" s="94"/>
      <c r="F71" s="94"/>
      <c r="G71" s="234"/>
      <c r="H71" s="94">
        <f t="shared" si="1"/>
        <v>0</v>
      </c>
      <c r="I71" s="94"/>
      <c r="J71" s="94"/>
      <c r="K71" s="94"/>
      <c r="L71" s="94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</row>
    <row r="72" spans="1:23" s="4" customFormat="1">
      <c r="B72" s="4">
        <v>141</v>
      </c>
      <c r="C72" s="44"/>
      <c r="D72" s="4" t="s">
        <v>149</v>
      </c>
      <c r="E72" s="94"/>
      <c r="F72" s="94"/>
      <c r="G72" s="234"/>
      <c r="H72" s="94">
        <f t="shared" si="1"/>
        <v>0</v>
      </c>
      <c r="I72" s="94"/>
      <c r="J72" s="94"/>
      <c r="K72" s="94"/>
      <c r="L72" s="94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</row>
    <row r="73" spans="1:23" s="4" customFormat="1">
      <c r="C73" s="44"/>
      <c r="D73" s="81" t="s">
        <v>150</v>
      </c>
      <c r="E73" s="94">
        <v>800</v>
      </c>
      <c r="F73" s="94">
        <v>0</v>
      </c>
      <c r="G73" s="234"/>
      <c r="H73" s="249">
        <f t="shared" si="1"/>
        <v>0</v>
      </c>
      <c r="I73" s="94">
        <v>0</v>
      </c>
      <c r="J73" s="94">
        <v>0</v>
      </c>
      <c r="K73" s="94">
        <v>0</v>
      </c>
      <c r="L73" s="94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</row>
    <row r="74" spans="1:23" s="4" customFormat="1">
      <c r="C74" s="44"/>
      <c r="D74" s="4" t="s">
        <v>151</v>
      </c>
      <c r="G74" s="234"/>
      <c r="H74" s="250">
        <f t="shared" si="1"/>
        <v>0</v>
      </c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</row>
    <row r="75" spans="1:23" s="4" customFormat="1">
      <c r="C75" s="44"/>
      <c r="G75" s="234"/>
      <c r="H75" s="250">
        <f t="shared" ref="H75:H138" si="7">I75-F75</f>
        <v>0</v>
      </c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</row>
    <row r="76" spans="1:23" s="4" customFormat="1">
      <c r="A76" s="4" t="s">
        <v>103</v>
      </c>
      <c r="B76" s="6" t="s">
        <v>104</v>
      </c>
      <c r="C76" s="43" t="s">
        <v>152</v>
      </c>
      <c r="D76" s="6"/>
      <c r="E76" s="228">
        <f>SUM(E59:E75)</f>
        <v>109908</v>
      </c>
      <c r="F76" s="228">
        <f>SUM(F59:F75)</f>
        <v>133297.25</v>
      </c>
      <c r="G76" s="248">
        <f>(I76-F76)/F76</f>
        <v>0.10696957364086655</v>
      </c>
      <c r="H76" s="228">
        <f t="shared" si="7"/>
        <v>14258.75</v>
      </c>
      <c r="I76" s="228">
        <f>SUM(I59:I75)</f>
        <v>147556</v>
      </c>
      <c r="J76" s="228">
        <f>SUM(J59:J75)</f>
        <v>147556</v>
      </c>
      <c r="K76" s="228">
        <f>SUM(K59:K75)</f>
        <v>147556</v>
      </c>
      <c r="L76" s="94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</row>
    <row r="77" spans="1:23" s="4" customFormat="1">
      <c r="C77" s="44"/>
      <c r="E77" s="80"/>
      <c r="F77" s="80"/>
      <c r="G77" s="80"/>
      <c r="H77" s="80"/>
      <c r="I77" s="80"/>
      <c r="J77" s="80"/>
      <c r="K77" s="80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</row>
    <row r="78" spans="1:23" s="4" customFormat="1">
      <c r="B78" s="6">
        <v>145</v>
      </c>
      <c r="C78" s="43" t="s">
        <v>153</v>
      </c>
      <c r="D78" s="6"/>
      <c r="E78" s="225"/>
      <c r="F78" s="225"/>
      <c r="G78" s="225"/>
      <c r="H78" s="225"/>
      <c r="I78" s="225"/>
      <c r="J78" s="225"/>
      <c r="K78" s="225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</row>
    <row r="79" spans="1:23" s="4" customFormat="1">
      <c r="B79" s="4">
        <v>145</v>
      </c>
      <c r="C79" s="44">
        <v>5105111</v>
      </c>
      <c r="D79" s="4" t="s">
        <v>154</v>
      </c>
      <c r="E79" s="94">
        <v>35198</v>
      </c>
      <c r="F79" s="94">
        <v>5866.33</v>
      </c>
      <c r="G79" s="234">
        <f t="shared" ref="G79:G88" si="8">(I79-F79)/F79</f>
        <v>-1</v>
      </c>
      <c r="H79" s="94">
        <f t="shared" si="7"/>
        <v>-5866.33</v>
      </c>
      <c r="I79" s="94">
        <v>0</v>
      </c>
      <c r="J79" s="94">
        <v>0</v>
      </c>
      <c r="K79" s="94">
        <v>0</v>
      </c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</row>
    <row r="80" spans="1:23" s="4" customFormat="1">
      <c r="B80" s="4">
        <v>145</v>
      </c>
      <c r="C80" s="44">
        <v>5105115</v>
      </c>
      <c r="D80" s="4" t="s">
        <v>155</v>
      </c>
      <c r="E80" s="94">
        <v>27341.599999999999</v>
      </c>
      <c r="F80" s="94">
        <v>29179.5</v>
      </c>
      <c r="G80" s="234">
        <f t="shared" si="8"/>
        <v>2.9969670487842492E-2</v>
      </c>
      <c r="H80" s="94">
        <f t="shared" si="7"/>
        <v>874.5</v>
      </c>
      <c r="I80" s="94">
        <v>30054</v>
      </c>
      <c r="J80" s="94">
        <v>30054</v>
      </c>
      <c r="K80" s="94">
        <v>30054</v>
      </c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</row>
    <row r="81" spans="1:23" s="6" customFormat="1">
      <c r="A81" s="4"/>
      <c r="B81" s="4">
        <v>145</v>
      </c>
      <c r="C81" s="44">
        <v>5105110</v>
      </c>
      <c r="D81" s="4" t="s">
        <v>156</v>
      </c>
      <c r="E81" s="94">
        <v>23000</v>
      </c>
      <c r="F81" s="94">
        <v>22417</v>
      </c>
      <c r="G81" s="234">
        <f t="shared" si="8"/>
        <v>-1</v>
      </c>
      <c r="H81" s="94">
        <f t="shared" si="7"/>
        <v>-22417</v>
      </c>
      <c r="I81" s="94">
        <v>0</v>
      </c>
      <c r="J81" s="94">
        <v>0</v>
      </c>
      <c r="K81" s="94">
        <v>0</v>
      </c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</row>
    <row r="82" spans="1:23" s="6" customFormat="1">
      <c r="A82" s="4"/>
      <c r="B82" s="4">
        <v>145</v>
      </c>
      <c r="C82" s="44"/>
      <c r="D82" s="4" t="s">
        <v>157</v>
      </c>
      <c r="E82" s="94"/>
      <c r="F82" s="94">
        <v>62499.75</v>
      </c>
      <c r="G82" s="234">
        <f t="shared" si="8"/>
        <v>0.24000496001984009</v>
      </c>
      <c r="H82" s="94">
        <f t="shared" si="7"/>
        <v>15000.25</v>
      </c>
      <c r="I82" s="94">
        <v>77500</v>
      </c>
      <c r="J82" s="94">
        <v>77500</v>
      </c>
      <c r="K82" s="94">
        <v>77500</v>
      </c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</row>
    <row r="83" spans="1:23" s="4" customFormat="1">
      <c r="B83" s="4">
        <v>145</v>
      </c>
      <c r="C83" s="44">
        <v>5705407</v>
      </c>
      <c r="D83" s="4" t="s">
        <v>158</v>
      </c>
      <c r="E83" s="94">
        <v>4000</v>
      </c>
      <c r="F83" s="94">
        <v>4000</v>
      </c>
      <c r="G83" s="234">
        <f t="shared" si="8"/>
        <v>0</v>
      </c>
      <c r="H83" s="94">
        <f t="shared" si="7"/>
        <v>0</v>
      </c>
      <c r="I83" s="94">
        <v>4000</v>
      </c>
      <c r="J83" s="94">
        <v>4000</v>
      </c>
      <c r="K83" s="94">
        <v>4000</v>
      </c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</row>
    <row r="84" spans="1:23" s="6" customFormat="1">
      <c r="A84" s="4"/>
      <c r="B84" s="4">
        <v>145</v>
      </c>
      <c r="C84" s="44">
        <v>5705420</v>
      </c>
      <c r="D84" s="4" t="s">
        <v>118</v>
      </c>
      <c r="E84" s="94">
        <v>1200</v>
      </c>
      <c r="F84" s="94">
        <v>1200</v>
      </c>
      <c r="G84" s="234">
        <f t="shared" si="8"/>
        <v>0</v>
      </c>
      <c r="H84" s="94">
        <f t="shared" si="7"/>
        <v>0</v>
      </c>
      <c r="I84" s="94">
        <v>1200</v>
      </c>
      <c r="J84" s="94">
        <v>1200</v>
      </c>
      <c r="K84" s="94">
        <v>1200</v>
      </c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</row>
    <row r="85" spans="1:23" s="4" customFormat="1">
      <c r="B85" s="4">
        <v>145</v>
      </c>
      <c r="C85" s="44">
        <v>5705700</v>
      </c>
      <c r="D85" s="4" t="s">
        <v>109</v>
      </c>
      <c r="E85" s="94">
        <v>5000</v>
      </c>
      <c r="F85" s="94">
        <v>5000</v>
      </c>
      <c r="G85" s="234">
        <f t="shared" si="8"/>
        <v>0</v>
      </c>
      <c r="H85" s="94">
        <f t="shared" si="7"/>
        <v>0</v>
      </c>
      <c r="I85" s="94">
        <v>5000</v>
      </c>
      <c r="J85" s="94">
        <v>5000</v>
      </c>
      <c r="K85" s="94">
        <v>5000</v>
      </c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</row>
    <row r="86" spans="1:23" s="4" customFormat="1">
      <c r="B86" s="4">
        <v>145</v>
      </c>
      <c r="C86" s="44">
        <v>5705336</v>
      </c>
      <c r="D86" s="4" t="s">
        <v>159</v>
      </c>
      <c r="E86" s="94">
        <v>9000</v>
      </c>
      <c r="F86" s="94">
        <v>9000</v>
      </c>
      <c r="G86" s="234">
        <f t="shared" si="8"/>
        <v>-0.55555555555555558</v>
      </c>
      <c r="H86" s="94">
        <f t="shared" si="7"/>
        <v>-5000</v>
      </c>
      <c r="I86" s="94">
        <v>4000</v>
      </c>
      <c r="J86" s="94">
        <v>4000</v>
      </c>
      <c r="K86" s="94">
        <v>4000</v>
      </c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</row>
    <row r="87" spans="1:23" s="4" customFormat="1">
      <c r="B87" s="4">
        <v>145</v>
      </c>
      <c r="C87" s="44"/>
      <c r="D87" s="4" t="s">
        <v>149</v>
      </c>
      <c r="E87" s="94"/>
      <c r="F87" s="94"/>
      <c r="G87" s="234"/>
      <c r="H87" s="94">
        <f t="shared" si="7"/>
        <v>0</v>
      </c>
      <c r="I87" s="94"/>
      <c r="J87" s="94"/>
      <c r="K87" s="94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</row>
    <row r="88" spans="1:23" s="4" customFormat="1">
      <c r="B88" s="4">
        <v>145</v>
      </c>
      <c r="C88" s="44"/>
      <c r="D88" s="4" t="s">
        <v>160</v>
      </c>
      <c r="E88" s="94">
        <v>1000</v>
      </c>
      <c r="F88" s="94">
        <v>1000</v>
      </c>
      <c r="G88" s="234">
        <f t="shared" si="8"/>
        <v>0</v>
      </c>
      <c r="H88" s="94">
        <f t="shared" si="7"/>
        <v>0</v>
      </c>
      <c r="I88" s="94">
        <v>1000</v>
      </c>
      <c r="J88" s="94">
        <v>1000</v>
      </c>
      <c r="K88" s="94">
        <v>1000</v>
      </c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</row>
    <row r="89" spans="1:23" s="4" customFormat="1">
      <c r="A89" s="4" t="s">
        <v>103</v>
      </c>
      <c r="B89" s="6" t="s">
        <v>104</v>
      </c>
      <c r="C89" s="43" t="s">
        <v>161</v>
      </c>
      <c r="D89" s="6"/>
      <c r="E89" s="226">
        <f>SUM(E79:E88)</f>
        <v>105739.6</v>
      </c>
      <c r="F89" s="226">
        <f>SUM(F79:F88)</f>
        <v>140162.58000000002</v>
      </c>
      <c r="G89" s="235">
        <f>(I89-F89)/F89</f>
        <v>-0.12420276510321096</v>
      </c>
      <c r="H89" s="226">
        <f t="shared" si="7"/>
        <v>-17408.580000000016</v>
      </c>
      <c r="I89" s="226">
        <f>SUM(I79:I88)</f>
        <v>122754</v>
      </c>
      <c r="J89" s="226">
        <f>SUM(J79:J88)</f>
        <v>122754</v>
      </c>
      <c r="K89" s="226">
        <f>SUM(K79:K88)</f>
        <v>122754</v>
      </c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</row>
    <row r="90" spans="1:23" s="6" customFormat="1">
      <c r="A90" s="4"/>
      <c r="B90" s="4"/>
      <c r="C90" s="44"/>
      <c r="D90" s="4"/>
      <c r="E90" s="80"/>
      <c r="F90" s="80"/>
      <c r="G90" s="80"/>
      <c r="H90" s="80"/>
      <c r="I90" s="80"/>
      <c r="J90" s="80"/>
      <c r="K90" s="80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</row>
    <row r="91" spans="1:23" s="4" customFormat="1">
      <c r="B91" s="6">
        <v>146</v>
      </c>
      <c r="C91" s="43" t="s">
        <v>162</v>
      </c>
      <c r="D91" s="6"/>
      <c r="E91" s="225"/>
      <c r="F91" s="225"/>
      <c r="G91" s="225"/>
      <c r="H91" s="225"/>
      <c r="I91" s="225"/>
      <c r="J91" s="225"/>
      <c r="K91" s="225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</row>
    <row r="92" spans="1:23" s="6" customFormat="1">
      <c r="A92" s="4"/>
      <c r="B92" s="4">
        <v>146</v>
      </c>
      <c r="C92" s="44">
        <v>5105111</v>
      </c>
      <c r="D92" s="4" t="s">
        <v>163</v>
      </c>
      <c r="E92" s="94">
        <v>35198</v>
      </c>
      <c r="F92" s="94">
        <v>1</v>
      </c>
      <c r="G92" s="234">
        <f t="shared" ref="G92:G99" si="9">(I92-F92)/F92</f>
        <v>-1</v>
      </c>
      <c r="H92" s="94">
        <f t="shared" si="7"/>
        <v>-1</v>
      </c>
      <c r="I92" s="94">
        <v>0</v>
      </c>
      <c r="J92" s="94">
        <v>0</v>
      </c>
      <c r="K92" s="94">
        <v>0</v>
      </c>
      <c r="L92" s="94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</row>
    <row r="93" spans="1:23" s="4" customFormat="1">
      <c r="B93" s="4">
        <v>146</v>
      </c>
      <c r="C93" s="44">
        <v>5105110</v>
      </c>
      <c r="D93" s="4" t="s">
        <v>114</v>
      </c>
      <c r="E93" s="94">
        <v>26500</v>
      </c>
      <c r="F93" s="147">
        <v>35456.400000000001</v>
      </c>
      <c r="G93" s="234">
        <f t="shared" si="9"/>
        <v>5.3913820918085206E-2</v>
      </c>
      <c r="H93" s="147">
        <f t="shared" si="7"/>
        <v>1911.5899999999965</v>
      </c>
      <c r="I93" s="147">
        <v>37367.99</v>
      </c>
      <c r="J93" s="147">
        <v>37367.99</v>
      </c>
      <c r="K93" s="147">
        <v>37367.99</v>
      </c>
      <c r="L93" s="94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</row>
    <row r="94" spans="1:23" s="4" customFormat="1">
      <c r="B94" s="4">
        <v>146</v>
      </c>
      <c r="C94" s="44"/>
      <c r="D94" s="4" t="s">
        <v>115</v>
      </c>
      <c r="E94" s="94"/>
      <c r="F94" s="94"/>
      <c r="G94" s="234"/>
      <c r="H94" s="94">
        <f t="shared" si="7"/>
        <v>0</v>
      </c>
      <c r="I94" s="94"/>
      <c r="J94" s="94"/>
      <c r="K94" s="94"/>
      <c r="L94" s="94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</row>
    <row r="95" spans="1:23" s="4" customFormat="1">
      <c r="B95" s="4">
        <v>146</v>
      </c>
      <c r="C95" s="44">
        <v>5705407</v>
      </c>
      <c r="D95" s="4" t="s">
        <v>158</v>
      </c>
      <c r="E95" s="94">
        <v>10000</v>
      </c>
      <c r="F95" s="94">
        <v>10000</v>
      </c>
      <c r="G95" s="234">
        <f t="shared" si="9"/>
        <v>0.5</v>
      </c>
      <c r="H95" s="94">
        <f t="shared" si="7"/>
        <v>5000</v>
      </c>
      <c r="I95" s="94">
        <v>15000</v>
      </c>
      <c r="J95" s="94">
        <v>15000</v>
      </c>
      <c r="K95" s="94">
        <v>15000</v>
      </c>
      <c r="L95" s="94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</row>
    <row r="96" spans="1:23" s="4" customFormat="1">
      <c r="B96" s="4">
        <v>146</v>
      </c>
      <c r="C96" s="44">
        <v>5705420</v>
      </c>
      <c r="D96" s="4" t="s">
        <v>118</v>
      </c>
      <c r="E96" s="94">
        <v>1500</v>
      </c>
      <c r="F96" s="94">
        <v>1500</v>
      </c>
      <c r="G96" s="234">
        <f t="shared" si="9"/>
        <v>0</v>
      </c>
      <c r="H96" s="94">
        <f t="shared" si="7"/>
        <v>0</v>
      </c>
      <c r="I96" s="94">
        <v>1500</v>
      </c>
      <c r="J96" s="94">
        <v>1500</v>
      </c>
      <c r="K96" s="94">
        <v>1500</v>
      </c>
      <c r="L96" s="94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</row>
    <row r="97" spans="1:23" s="6" customFormat="1">
      <c r="A97" s="4"/>
      <c r="B97" s="4">
        <v>146</v>
      </c>
      <c r="C97" s="44">
        <v>5705700</v>
      </c>
      <c r="D97" s="4" t="s">
        <v>109</v>
      </c>
      <c r="E97" s="94">
        <v>4000</v>
      </c>
      <c r="F97" s="94">
        <v>4000</v>
      </c>
      <c r="G97" s="234">
        <f t="shared" si="9"/>
        <v>0</v>
      </c>
      <c r="H97" s="94">
        <f t="shared" si="7"/>
        <v>0</v>
      </c>
      <c r="I97" s="94">
        <v>4000</v>
      </c>
      <c r="J97" s="94">
        <v>4000</v>
      </c>
      <c r="K97" s="94">
        <v>4000</v>
      </c>
      <c r="L97" s="94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</row>
    <row r="98" spans="1:23" s="4" customFormat="1">
      <c r="B98" s="4">
        <v>146</v>
      </c>
      <c r="C98" s="44"/>
      <c r="D98" s="4" t="s">
        <v>164</v>
      </c>
      <c r="E98" s="94">
        <v>1000</v>
      </c>
      <c r="F98" s="94">
        <v>0</v>
      </c>
      <c r="G98" s="234"/>
      <c r="H98" s="94">
        <f t="shared" si="7"/>
        <v>0</v>
      </c>
      <c r="I98" s="94">
        <v>0</v>
      </c>
      <c r="J98" s="94">
        <v>0</v>
      </c>
      <c r="K98" s="94">
        <v>0</v>
      </c>
      <c r="L98" s="94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</row>
    <row r="99" spans="1:23" s="6" customFormat="1">
      <c r="A99" s="4"/>
      <c r="B99" s="4"/>
      <c r="C99" s="44"/>
      <c r="D99" s="4" t="s">
        <v>160</v>
      </c>
      <c r="E99" s="94">
        <v>1000</v>
      </c>
      <c r="F99" s="94">
        <v>1000</v>
      </c>
      <c r="G99" s="234">
        <f t="shared" si="9"/>
        <v>0.2</v>
      </c>
      <c r="H99" s="94">
        <f t="shared" si="7"/>
        <v>200</v>
      </c>
      <c r="I99" s="94">
        <v>1200</v>
      </c>
      <c r="J99" s="94">
        <v>1200</v>
      </c>
      <c r="K99" s="94">
        <v>1200</v>
      </c>
      <c r="L99" s="94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</row>
    <row r="100" spans="1:23" s="4" customFormat="1">
      <c r="A100" s="4" t="s">
        <v>103</v>
      </c>
      <c r="B100" s="6" t="s">
        <v>104</v>
      </c>
      <c r="C100" s="43" t="s">
        <v>165</v>
      </c>
      <c r="D100" s="6"/>
      <c r="E100" s="226">
        <f>SUM(E92:E99)</f>
        <v>79198</v>
      </c>
      <c r="F100" s="226">
        <f>SUM(F92:F99)</f>
        <v>51957.4</v>
      </c>
      <c r="G100" s="235">
        <f>(I100-F100)/F100</f>
        <v>0.13685423058120685</v>
      </c>
      <c r="H100" s="226">
        <f t="shared" si="7"/>
        <v>7110.5899999999965</v>
      </c>
      <c r="I100" s="226">
        <f>SUM(I92:I99)</f>
        <v>59067.99</v>
      </c>
      <c r="J100" s="226">
        <f>SUM(J92:J99)</f>
        <v>59067.99</v>
      </c>
      <c r="K100" s="226">
        <f>SUM(K92:K99)</f>
        <v>59067.99</v>
      </c>
      <c r="L100" s="94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</row>
    <row r="101" spans="1:23" s="4" customFormat="1">
      <c r="C101" s="44"/>
      <c r="E101" s="80"/>
      <c r="F101" s="80"/>
      <c r="G101" s="80"/>
      <c r="H101" s="80"/>
      <c r="I101" s="80"/>
      <c r="J101" s="80"/>
      <c r="K101" s="80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</row>
    <row r="102" spans="1:23" s="4" customFormat="1">
      <c r="B102" s="6">
        <v>151</v>
      </c>
      <c r="C102" s="43" t="s">
        <v>166</v>
      </c>
      <c r="D102" s="6"/>
      <c r="E102" s="225"/>
      <c r="F102" s="225"/>
      <c r="G102" s="225"/>
      <c r="H102" s="225"/>
      <c r="I102" s="225"/>
      <c r="J102" s="225"/>
      <c r="K102" s="225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</row>
    <row r="103" spans="1:23" s="4" customFormat="1">
      <c r="B103" s="4">
        <v>151</v>
      </c>
      <c r="C103" s="44">
        <v>5705300</v>
      </c>
      <c r="D103" s="4" t="s">
        <v>167</v>
      </c>
      <c r="E103" s="94">
        <v>55000</v>
      </c>
      <c r="F103" s="94">
        <v>65000</v>
      </c>
      <c r="G103" s="234">
        <f t="shared" ref="G103" si="10">(I103-F103)/E103</f>
        <v>0</v>
      </c>
      <c r="H103" s="94">
        <f t="shared" si="7"/>
        <v>0</v>
      </c>
      <c r="I103" s="94">
        <v>65000</v>
      </c>
      <c r="J103" s="94">
        <v>65000</v>
      </c>
      <c r="K103" s="94">
        <v>65000</v>
      </c>
      <c r="L103" s="174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</row>
    <row r="104" spans="1:23" s="4" customFormat="1">
      <c r="B104" s="4">
        <v>151</v>
      </c>
      <c r="C104" s="44"/>
      <c r="D104" s="4" t="s">
        <v>168</v>
      </c>
      <c r="E104" s="94"/>
      <c r="F104" s="94"/>
      <c r="G104" s="234"/>
      <c r="H104" s="94">
        <f t="shared" si="7"/>
        <v>0</v>
      </c>
      <c r="I104" s="94"/>
      <c r="J104" s="94"/>
      <c r="K104" s="94"/>
      <c r="L104" s="174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</row>
    <row r="105" spans="1:23" s="4" customFormat="1">
      <c r="C105" s="44"/>
      <c r="E105" s="80"/>
      <c r="F105" s="80"/>
      <c r="G105" s="232"/>
      <c r="H105" s="80">
        <f t="shared" si="7"/>
        <v>0</v>
      </c>
      <c r="I105" s="80"/>
      <c r="J105" s="80"/>
      <c r="K105" s="80"/>
      <c r="L105" s="174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</row>
    <row r="106" spans="1:23" s="4" customFormat="1">
      <c r="A106" s="4" t="s">
        <v>103</v>
      </c>
      <c r="B106" s="6" t="s">
        <v>104</v>
      </c>
      <c r="C106" s="43" t="s">
        <v>169</v>
      </c>
      <c r="D106" s="6"/>
      <c r="E106" s="226">
        <f>SUM(E103:E105)</f>
        <v>55000</v>
      </c>
      <c r="F106" s="226">
        <f>SUM(F103:F105)</f>
        <v>65000</v>
      </c>
      <c r="G106" s="235">
        <f>(I106-F106)/F106</f>
        <v>0</v>
      </c>
      <c r="H106" s="226">
        <f t="shared" si="7"/>
        <v>0</v>
      </c>
      <c r="I106" s="226">
        <f>SUM(I103:I105)</f>
        <v>65000</v>
      </c>
      <c r="J106" s="226">
        <f>SUM(J103:J105)</f>
        <v>65000</v>
      </c>
      <c r="K106" s="226">
        <f>SUM(K103:K105)</f>
        <v>65000</v>
      </c>
      <c r="L106" s="174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</row>
    <row r="107" spans="1:23" s="4" customFormat="1">
      <c r="C107" s="44"/>
      <c r="E107" s="80"/>
      <c r="F107" s="80"/>
      <c r="G107" s="80"/>
      <c r="H107" s="80"/>
      <c r="I107" s="80"/>
      <c r="J107" s="80"/>
      <c r="K107" s="80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</row>
    <row r="108" spans="1:23" s="4" customFormat="1">
      <c r="B108" s="6">
        <v>152</v>
      </c>
      <c r="C108" s="43" t="s">
        <v>170</v>
      </c>
      <c r="D108" s="6"/>
      <c r="E108" s="225"/>
      <c r="F108" s="225"/>
      <c r="G108" s="225"/>
      <c r="H108" s="225">
        <f t="shared" si="7"/>
        <v>0</v>
      </c>
      <c r="I108" s="225"/>
      <c r="J108" s="225"/>
      <c r="K108" s="225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</row>
    <row r="109" spans="1:23" s="4" customFormat="1">
      <c r="B109" s="4">
        <v>152</v>
      </c>
      <c r="C109" s="44"/>
      <c r="D109" s="4" t="s">
        <v>171</v>
      </c>
      <c r="E109" s="94">
        <v>0</v>
      </c>
      <c r="F109" s="94">
        <v>0</v>
      </c>
      <c r="G109" s="234"/>
      <c r="H109" s="94">
        <f t="shared" si="7"/>
        <v>0</v>
      </c>
      <c r="I109" s="94">
        <v>0</v>
      </c>
      <c r="J109" s="94">
        <v>0</v>
      </c>
      <c r="K109" s="94">
        <v>0</v>
      </c>
      <c r="L109" s="145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</row>
    <row r="110" spans="1:23" s="4" customFormat="1">
      <c r="B110" s="4">
        <v>152</v>
      </c>
      <c r="C110" s="44">
        <v>5705275</v>
      </c>
      <c r="D110" s="4" t="s">
        <v>172</v>
      </c>
      <c r="E110" s="94">
        <v>25794</v>
      </c>
      <c r="F110" s="94">
        <v>25794</v>
      </c>
      <c r="G110" s="234">
        <f t="shared" ref="G110:G120" si="11">(I110-F110)/F110</f>
        <v>0.21481739939520819</v>
      </c>
      <c r="H110" s="94">
        <f t="shared" si="7"/>
        <v>5541</v>
      </c>
      <c r="I110" s="94">
        <f>5538+20511+5286</f>
        <v>31335</v>
      </c>
      <c r="J110" s="94">
        <f>5538+20511+5286</f>
        <v>31335</v>
      </c>
      <c r="K110" s="94">
        <f>5538+20511+5286</f>
        <v>31335</v>
      </c>
      <c r="L110" s="202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</row>
    <row r="111" spans="1:23" s="4" customFormat="1">
      <c r="B111" s="4">
        <v>152</v>
      </c>
      <c r="C111" s="44">
        <v>5705275</v>
      </c>
      <c r="D111" s="4" t="s">
        <v>173</v>
      </c>
      <c r="E111" s="94">
        <v>17000</v>
      </c>
      <c r="F111" s="94">
        <v>17000</v>
      </c>
      <c r="G111" s="234">
        <f t="shared" si="11"/>
        <v>0.70794117647058818</v>
      </c>
      <c r="H111" s="94">
        <f t="shared" si="7"/>
        <v>12035</v>
      </c>
      <c r="I111" s="94">
        <f>23029+6006</f>
        <v>29035</v>
      </c>
      <c r="J111" s="94">
        <f>23029+6006</f>
        <v>29035</v>
      </c>
      <c r="K111" s="94">
        <f>23029+6006</f>
        <v>29035</v>
      </c>
      <c r="L111" s="202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</row>
    <row r="112" spans="1:23" s="6" customFormat="1">
      <c r="A112" s="4"/>
      <c r="B112" s="4">
        <v>152</v>
      </c>
      <c r="C112" s="44">
        <v>5705303</v>
      </c>
      <c r="D112" s="4" t="s">
        <v>174</v>
      </c>
      <c r="E112" s="94">
        <v>10800</v>
      </c>
      <c r="F112" s="94">
        <v>10800</v>
      </c>
      <c r="G112" s="234">
        <f t="shared" si="11"/>
        <v>-0.62962962962962965</v>
      </c>
      <c r="H112" s="94">
        <f t="shared" si="7"/>
        <v>-6800</v>
      </c>
      <c r="I112" s="94">
        <v>4000</v>
      </c>
      <c r="J112" s="94">
        <v>4000</v>
      </c>
      <c r="K112" s="94">
        <v>4000</v>
      </c>
      <c r="L112" s="202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</row>
    <row r="113" spans="1:23" s="4" customFormat="1">
      <c r="B113" s="4">
        <v>152</v>
      </c>
      <c r="C113" s="44">
        <v>5705350</v>
      </c>
      <c r="D113" s="4" t="s">
        <v>175</v>
      </c>
      <c r="E113" s="94">
        <v>10000</v>
      </c>
      <c r="F113" s="94">
        <v>10000</v>
      </c>
      <c r="G113" s="234">
        <f t="shared" si="11"/>
        <v>-0.2</v>
      </c>
      <c r="H113" s="94">
        <f t="shared" si="7"/>
        <v>-2000</v>
      </c>
      <c r="I113" s="94">
        <v>8000</v>
      </c>
      <c r="J113" s="94">
        <v>8000</v>
      </c>
      <c r="K113" s="94">
        <v>8000</v>
      </c>
      <c r="L113" s="202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</row>
    <row r="114" spans="1:23" s="6" customFormat="1">
      <c r="A114" s="4"/>
      <c r="B114" s="4">
        <v>152</v>
      </c>
      <c r="C114" s="44">
        <v>5705250</v>
      </c>
      <c r="D114" s="4" t="s">
        <v>176</v>
      </c>
      <c r="E114" s="94">
        <v>4724</v>
      </c>
      <c r="F114" s="94">
        <v>4724</v>
      </c>
      <c r="G114" s="234">
        <f t="shared" si="11"/>
        <v>-1</v>
      </c>
      <c r="H114" s="94">
        <f t="shared" si="7"/>
        <v>-4724</v>
      </c>
      <c r="I114" s="94">
        <f>0</f>
        <v>0</v>
      </c>
      <c r="J114" s="94">
        <f>0</f>
        <v>0</v>
      </c>
      <c r="K114" s="94">
        <f>0</f>
        <v>0</v>
      </c>
      <c r="L114" s="202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</row>
    <row r="115" spans="1:23" s="4" customFormat="1">
      <c r="B115" s="4">
        <v>152</v>
      </c>
      <c r="C115" s="44"/>
      <c r="D115" s="4" t="s">
        <v>177</v>
      </c>
      <c r="E115" s="94"/>
      <c r="F115" s="94">
        <v>8000</v>
      </c>
      <c r="G115" s="234">
        <f t="shared" si="11"/>
        <v>0</v>
      </c>
      <c r="H115" s="94">
        <f t="shared" si="7"/>
        <v>0</v>
      </c>
      <c r="I115" s="94">
        <v>8000</v>
      </c>
      <c r="J115" s="94">
        <v>8000</v>
      </c>
      <c r="K115" s="94">
        <v>8000</v>
      </c>
      <c r="L115" s="202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</row>
    <row r="116" spans="1:23" s="4" customFormat="1">
      <c r="B116" s="4">
        <v>152</v>
      </c>
      <c r="C116" s="44"/>
      <c r="D116" s="4" t="s">
        <v>178</v>
      </c>
      <c r="E116" s="94"/>
      <c r="F116" s="94"/>
      <c r="G116" s="234"/>
      <c r="H116" s="94">
        <f t="shared" si="7"/>
        <v>0</v>
      </c>
      <c r="I116" s="94"/>
      <c r="J116" s="94"/>
      <c r="K116" s="94"/>
      <c r="L116" s="202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</row>
    <row r="117" spans="1:23" s="4" customFormat="1">
      <c r="B117" s="4">
        <v>152</v>
      </c>
      <c r="C117" s="44">
        <v>5705491</v>
      </c>
      <c r="D117" s="4" t="s">
        <v>179</v>
      </c>
      <c r="E117" s="94">
        <v>18000</v>
      </c>
      <c r="F117" s="94">
        <v>18000</v>
      </c>
      <c r="G117" s="234">
        <f t="shared" si="11"/>
        <v>0.1111111111111111</v>
      </c>
      <c r="H117" s="94">
        <f t="shared" si="7"/>
        <v>2000</v>
      </c>
      <c r="I117" s="94">
        <v>20000</v>
      </c>
      <c r="J117" s="94">
        <v>20000</v>
      </c>
      <c r="K117" s="94">
        <v>20000</v>
      </c>
      <c r="L117" s="202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</row>
    <row r="118" spans="1:23" s="4" customFormat="1">
      <c r="B118" s="4">
        <v>152</v>
      </c>
      <c r="C118" s="44">
        <v>5705340</v>
      </c>
      <c r="D118" s="4" t="s">
        <v>180</v>
      </c>
      <c r="E118" s="94">
        <v>4300</v>
      </c>
      <c r="F118" s="94">
        <v>4300</v>
      </c>
      <c r="G118" s="234">
        <f t="shared" si="11"/>
        <v>0.27906976744186046</v>
      </c>
      <c r="H118" s="94">
        <f t="shared" si="7"/>
        <v>1200</v>
      </c>
      <c r="I118" s="94">
        <v>5500</v>
      </c>
      <c r="J118" s="94">
        <v>5500</v>
      </c>
      <c r="K118" s="94">
        <v>5500</v>
      </c>
      <c r="L118" s="202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</row>
    <row r="119" spans="1:23" s="4" customFormat="1">
      <c r="B119" s="4">
        <v>152</v>
      </c>
      <c r="C119" s="44"/>
      <c r="D119" s="4" t="s">
        <v>181</v>
      </c>
      <c r="E119" s="94">
        <v>5000</v>
      </c>
      <c r="F119" s="94">
        <v>0</v>
      </c>
      <c r="G119" s="234"/>
      <c r="H119" s="94">
        <f t="shared" si="7"/>
        <v>0</v>
      </c>
      <c r="I119" s="94">
        <v>0</v>
      </c>
      <c r="J119" s="94">
        <v>0</v>
      </c>
      <c r="K119" s="94">
        <v>0</v>
      </c>
      <c r="L119" s="202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</row>
    <row r="120" spans="1:23" s="6" customFormat="1">
      <c r="A120" s="4"/>
      <c r="B120" s="4"/>
      <c r="C120" s="44"/>
      <c r="D120" s="4" t="s">
        <v>139</v>
      </c>
      <c r="E120" s="94">
        <v>3000</v>
      </c>
      <c r="F120" s="94">
        <v>3000</v>
      </c>
      <c r="G120" s="234">
        <f t="shared" si="11"/>
        <v>0</v>
      </c>
      <c r="H120" s="94">
        <f t="shared" si="7"/>
        <v>0</v>
      </c>
      <c r="I120" s="94">
        <v>3000</v>
      </c>
      <c r="J120" s="94">
        <v>3000</v>
      </c>
      <c r="K120" s="94">
        <v>3000</v>
      </c>
      <c r="L120" s="145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</row>
    <row r="121" spans="1:23" s="4" customFormat="1">
      <c r="A121" s="4" t="s">
        <v>103</v>
      </c>
      <c r="B121" s="6" t="s">
        <v>104</v>
      </c>
      <c r="C121" s="43" t="s">
        <v>182</v>
      </c>
      <c r="D121" s="6"/>
      <c r="E121" s="226">
        <f>SUM(E109:E120)</f>
        <v>98618</v>
      </c>
      <c r="F121" s="226">
        <f>SUM(F109:F120)</f>
        <v>101618</v>
      </c>
      <c r="G121" s="235">
        <f>(I121-F121)/F121</f>
        <v>7.1365309295597243E-2</v>
      </c>
      <c r="H121" s="226">
        <f t="shared" si="7"/>
        <v>7252</v>
      </c>
      <c r="I121" s="226">
        <f>SUM(I109:I120)</f>
        <v>108870</v>
      </c>
      <c r="J121" s="226">
        <f>SUM(J109:J120)</f>
        <v>108870</v>
      </c>
      <c r="K121" s="226">
        <f>SUM(K109:K120)</f>
        <v>108870</v>
      </c>
      <c r="L121" s="202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</row>
    <row r="122" spans="1:23" s="6" customFormat="1">
      <c r="A122" s="4"/>
      <c r="B122" s="4"/>
      <c r="C122" s="44"/>
      <c r="D122" s="4"/>
      <c r="E122" s="80"/>
      <c r="F122" s="80"/>
      <c r="G122" s="80"/>
      <c r="H122" s="80"/>
      <c r="I122" s="80"/>
      <c r="J122" s="80"/>
      <c r="K122" s="80"/>
      <c r="L122" s="147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</row>
    <row r="123" spans="1:23" s="4" customFormat="1">
      <c r="B123" s="6">
        <v>161</v>
      </c>
      <c r="C123" s="43" t="s">
        <v>183</v>
      </c>
      <c r="D123" s="6"/>
      <c r="E123" s="225"/>
      <c r="F123" s="225"/>
      <c r="G123" s="225"/>
      <c r="H123" s="225">
        <f t="shared" si="7"/>
        <v>0</v>
      </c>
      <c r="I123" s="225"/>
      <c r="J123" s="225"/>
      <c r="K123" s="225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</row>
    <row r="124" spans="1:23" s="4" customFormat="1">
      <c r="B124" s="4">
        <v>161</v>
      </c>
      <c r="C124" s="44">
        <v>5105111</v>
      </c>
      <c r="D124" s="4" t="s">
        <v>184</v>
      </c>
      <c r="E124" s="94">
        <v>35198</v>
      </c>
      <c r="F124" s="94">
        <v>40000</v>
      </c>
      <c r="G124" s="234">
        <f>(I124-F124)/F124</f>
        <v>0.125</v>
      </c>
      <c r="H124" s="94">
        <f t="shared" si="7"/>
        <v>5000</v>
      </c>
      <c r="I124" s="94">
        <v>45000</v>
      </c>
      <c r="J124" s="94">
        <v>45000</v>
      </c>
      <c r="K124" s="94">
        <v>45000</v>
      </c>
      <c r="L124" s="147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</row>
    <row r="125" spans="1:23" s="4" customFormat="1">
      <c r="B125" s="4">
        <v>161</v>
      </c>
      <c r="C125" s="44">
        <v>5105110</v>
      </c>
      <c r="D125" s="4" t="s">
        <v>114</v>
      </c>
      <c r="E125" s="94">
        <v>27100</v>
      </c>
      <c r="F125" s="94">
        <v>31056.9</v>
      </c>
      <c r="G125" s="234">
        <f t="shared" ref="G125:G132" si="12">(I125-F125)/F125</f>
        <v>5.4033081215446435E-2</v>
      </c>
      <c r="H125" s="94">
        <f t="shared" si="7"/>
        <v>1678.0999999999985</v>
      </c>
      <c r="I125" s="94">
        <v>32735</v>
      </c>
      <c r="J125" s="94">
        <v>32735</v>
      </c>
      <c r="K125" s="94">
        <v>32735</v>
      </c>
      <c r="L125" s="147"/>
      <c r="M125" s="177"/>
      <c r="N125" s="81"/>
      <c r="O125" s="81"/>
      <c r="P125" s="81"/>
      <c r="Q125" s="81"/>
      <c r="R125" s="81"/>
      <c r="S125" s="81"/>
      <c r="T125" s="81"/>
      <c r="U125" s="81"/>
      <c r="V125" s="81"/>
      <c r="W125" s="81"/>
    </row>
    <row r="126" spans="1:23" s="4" customFormat="1">
      <c r="B126" s="4">
        <v>161</v>
      </c>
      <c r="C126" s="44"/>
      <c r="D126" s="4" t="s">
        <v>185</v>
      </c>
      <c r="E126" s="94">
        <v>250</v>
      </c>
      <c r="F126" s="94">
        <v>250</v>
      </c>
      <c r="G126" s="234">
        <f t="shared" si="12"/>
        <v>0</v>
      </c>
      <c r="H126" s="94">
        <f t="shared" si="7"/>
        <v>0</v>
      </c>
      <c r="I126" s="94">
        <v>250</v>
      </c>
      <c r="J126" s="94">
        <v>250</v>
      </c>
      <c r="K126" s="94">
        <v>250</v>
      </c>
      <c r="L126" s="147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</row>
    <row r="127" spans="1:23" s="4" customFormat="1">
      <c r="B127" s="4">
        <v>161</v>
      </c>
      <c r="C127" s="44">
        <v>5705407</v>
      </c>
      <c r="D127" s="4" t="s">
        <v>158</v>
      </c>
      <c r="E127" s="94">
        <v>1000</v>
      </c>
      <c r="F127" s="94">
        <v>1000</v>
      </c>
      <c r="G127" s="234">
        <f t="shared" si="12"/>
        <v>1</v>
      </c>
      <c r="H127" s="94">
        <f t="shared" si="7"/>
        <v>1000</v>
      </c>
      <c r="I127" s="94">
        <v>2000</v>
      </c>
      <c r="J127" s="94">
        <v>2000</v>
      </c>
      <c r="K127" s="94">
        <v>2000</v>
      </c>
      <c r="L127" s="147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</row>
    <row r="128" spans="1:23" s="6" customFormat="1">
      <c r="A128" s="4"/>
      <c r="B128" s="4">
        <v>161</v>
      </c>
      <c r="C128" s="44">
        <v>5705426</v>
      </c>
      <c r="D128" s="4" t="s">
        <v>186</v>
      </c>
      <c r="E128" s="94">
        <v>1450</v>
      </c>
      <c r="F128" s="94">
        <v>1450</v>
      </c>
      <c r="G128" s="234">
        <f t="shared" si="12"/>
        <v>0</v>
      </c>
      <c r="H128" s="94">
        <f t="shared" si="7"/>
        <v>0</v>
      </c>
      <c r="I128" s="94">
        <v>1450</v>
      </c>
      <c r="J128" s="94">
        <v>1450</v>
      </c>
      <c r="K128" s="94">
        <v>1450</v>
      </c>
      <c r="L128" s="147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</row>
    <row r="129" spans="1:23" s="4" customFormat="1">
      <c r="B129" s="4">
        <v>161</v>
      </c>
      <c r="C129" s="44">
        <v>5705703</v>
      </c>
      <c r="D129" s="4" t="s">
        <v>187</v>
      </c>
      <c r="E129" s="94">
        <v>3400</v>
      </c>
      <c r="F129" s="94">
        <v>3400</v>
      </c>
      <c r="G129" s="234">
        <f t="shared" si="12"/>
        <v>0.17647058823529413</v>
      </c>
      <c r="H129" s="94">
        <f t="shared" si="7"/>
        <v>600</v>
      </c>
      <c r="I129" s="94">
        <v>4000</v>
      </c>
      <c r="J129" s="94">
        <v>4000</v>
      </c>
      <c r="K129" s="94">
        <v>4000</v>
      </c>
      <c r="L129" s="147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</row>
    <row r="130" spans="1:23" s="6" customFormat="1">
      <c r="A130" s="4"/>
      <c r="B130" s="4">
        <v>161</v>
      </c>
      <c r="C130" s="44">
        <v>5705700</v>
      </c>
      <c r="D130" s="4" t="s">
        <v>109</v>
      </c>
      <c r="E130" s="94">
        <v>1500</v>
      </c>
      <c r="F130" s="94">
        <v>1500</v>
      </c>
      <c r="G130" s="234">
        <f t="shared" si="12"/>
        <v>1</v>
      </c>
      <c r="H130" s="94">
        <f t="shared" si="7"/>
        <v>1500</v>
      </c>
      <c r="I130" s="94">
        <v>3000</v>
      </c>
      <c r="J130" s="94">
        <v>3000</v>
      </c>
      <c r="K130" s="94">
        <v>3000</v>
      </c>
      <c r="L130" s="147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</row>
    <row r="131" spans="1:23" s="4" customFormat="1">
      <c r="B131" s="4">
        <v>161</v>
      </c>
      <c r="C131" s="44"/>
      <c r="D131" s="4" t="s">
        <v>119</v>
      </c>
      <c r="E131" s="94"/>
      <c r="F131" s="94"/>
      <c r="G131" s="234"/>
      <c r="H131" s="94">
        <f t="shared" si="7"/>
        <v>0</v>
      </c>
      <c r="I131" s="94"/>
      <c r="J131" s="94"/>
      <c r="K131" s="94"/>
      <c r="L131" s="147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</row>
    <row r="132" spans="1:23" s="4" customFormat="1">
      <c r="B132" s="4">
        <v>161</v>
      </c>
      <c r="C132" s="44">
        <v>5705731</v>
      </c>
      <c r="D132" s="4" t="s">
        <v>120</v>
      </c>
      <c r="E132" s="94">
        <v>650</v>
      </c>
      <c r="F132" s="94">
        <v>650</v>
      </c>
      <c r="G132" s="234">
        <f t="shared" si="12"/>
        <v>0</v>
      </c>
      <c r="H132" s="94">
        <f t="shared" si="7"/>
        <v>0</v>
      </c>
      <c r="I132" s="94">
        <v>650</v>
      </c>
      <c r="J132" s="94">
        <v>650</v>
      </c>
      <c r="K132" s="94">
        <v>650</v>
      </c>
      <c r="L132" s="147"/>
      <c r="N132" s="81"/>
      <c r="O132" s="81"/>
      <c r="P132" s="81"/>
      <c r="Q132" s="81"/>
      <c r="R132" s="81"/>
      <c r="S132" s="81"/>
      <c r="T132" s="81"/>
      <c r="U132" s="81"/>
      <c r="V132" s="81"/>
      <c r="W132" s="81"/>
    </row>
    <row r="133" spans="1:23" s="4" customFormat="1">
      <c r="B133" s="4">
        <v>161</v>
      </c>
      <c r="C133" s="44">
        <v>5705850</v>
      </c>
      <c r="D133" s="4" t="s">
        <v>149</v>
      </c>
      <c r="E133" s="94">
        <v>0</v>
      </c>
      <c r="F133" s="94">
        <v>0</v>
      </c>
      <c r="G133" s="234"/>
      <c r="H133" s="94">
        <f t="shared" si="7"/>
        <v>0</v>
      </c>
      <c r="I133" s="94">
        <v>0</v>
      </c>
      <c r="J133" s="94">
        <v>0</v>
      </c>
      <c r="K133" s="94">
        <v>0</v>
      </c>
      <c r="L133" s="147"/>
      <c r="N133" s="81"/>
      <c r="O133" s="81"/>
      <c r="P133" s="81"/>
      <c r="Q133" s="81"/>
      <c r="R133" s="81"/>
      <c r="S133" s="81"/>
      <c r="T133" s="81"/>
      <c r="U133" s="81"/>
      <c r="V133" s="81"/>
      <c r="W133" s="81"/>
    </row>
    <row r="134" spans="1:23" s="4" customFormat="1">
      <c r="C134" s="44"/>
      <c r="E134" s="94"/>
      <c r="F134" s="94"/>
      <c r="G134" s="234"/>
      <c r="H134" s="94">
        <f t="shared" si="7"/>
        <v>0</v>
      </c>
      <c r="I134" s="94"/>
      <c r="J134" s="94"/>
      <c r="K134" s="94"/>
      <c r="L134" s="147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</row>
    <row r="135" spans="1:23" s="4" customFormat="1">
      <c r="C135" s="44"/>
      <c r="E135" s="94"/>
      <c r="F135" s="94"/>
      <c r="G135" s="234"/>
      <c r="H135" s="94">
        <f t="shared" si="7"/>
        <v>0</v>
      </c>
      <c r="I135" s="94"/>
      <c r="J135" s="94"/>
      <c r="K135" s="94"/>
      <c r="L135" s="147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</row>
    <row r="136" spans="1:23" s="4" customFormat="1">
      <c r="A136" s="4" t="s">
        <v>103</v>
      </c>
      <c r="B136" s="6" t="s">
        <v>104</v>
      </c>
      <c r="C136" s="43" t="s">
        <v>188</v>
      </c>
      <c r="D136" s="6"/>
      <c r="E136" s="226">
        <f>SUM(E124:E135)</f>
        <v>70548</v>
      </c>
      <c r="F136" s="226">
        <f>SUM(F124:F135)</f>
        <v>79306.899999999994</v>
      </c>
      <c r="G136" s="235">
        <f>(I136-F136)/F136</f>
        <v>0.12329444222381668</v>
      </c>
      <c r="H136" s="226">
        <f t="shared" si="7"/>
        <v>9778.1000000000058</v>
      </c>
      <c r="I136" s="226">
        <f>SUM(I124:I135)</f>
        <v>89085</v>
      </c>
      <c r="J136" s="226">
        <f>SUM(J124:J135)</f>
        <v>89085</v>
      </c>
      <c r="K136" s="226">
        <f>SUM(K124:K135)</f>
        <v>89085</v>
      </c>
      <c r="L136" s="147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</row>
    <row r="137" spans="1:23" s="4" customFormat="1">
      <c r="B137" s="44"/>
      <c r="C137" s="44"/>
      <c r="E137" s="80"/>
      <c r="F137" s="80"/>
      <c r="G137" s="80"/>
      <c r="H137" s="80"/>
      <c r="I137" s="80"/>
      <c r="J137" s="80"/>
      <c r="K137" s="80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</row>
    <row r="138" spans="1:23" s="4" customFormat="1">
      <c r="B138" s="6">
        <v>162</v>
      </c>
      <c r="C138" s="43" t="s">
        <v>189</v>
      </c>
      <c r="D138" s="6"/>
      <c r="E138" s="225"/>
      <c r="F138" s="225"/>
      <c r="G138" s="225"/>
      <c r="H138" s="225">
        <f t="shared" si="7"/>
        <v>0</v>
      </c>
      <c r="I138" s="225"/>
      <c r="J138" s="225"/>
      <c r="K138" s="225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</row>
    <row r="139" spans="1:23" s="4" customFormat="1">
      <c r="B139" s="5">
        <v>162</v>
      </c>
      <c r="C139" s="44">
        <v>5105101</v>
      </c>
      <c r="D139" s="4" t="s">
        <v>190</v>
      </c>
      <c r="E139" s="80">
        <v>7500</v>
      </c>
      <c r="F139" s="80">
        <v>11500</v>
      </c>
      <c r="G139" s="234">
        <f t="shared" ref="G139:G145" si="13">(I139-F139)/F139</f>
        <v>0.82608695652173914</v>
      </c>
      <c r="H139" s="80">
        <f t="shared" ref="H139:H202" si="14">I139-F139</f>
        <v>9500</v>
      </c>
      <c r="I139" s="80">
        <v>21000</v>
      </c>
      <c r="J139" s="80">
        <v>21000</v>
      </c>
      <c r="K139" s="80">
        <v>21000</v>
      </c>
      <c r="L139" s="147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</row>
    <row r="140" spans="1:23" s="4" customFormat="1">
      <c r="B140" s="5">
        <v>162</v>
      </c>
      <c r="C140" s="44"/>
      <c r="D140" s="4" t="s">
        <v>191</v>
      </c>
      <c r="E140" s="80">
        <v>0</v>
      </c>
      <c r="F140" s="80">
        <v>0</v>
      </c>
      <c r="G140" s="234"/>
      <c r="H140" s="80">
        <f t="shared" si="14"/>
        <v>0</v>
      </c>
      <c r="I140" s="80">
        <v>0</v>
      </c>
      <c r="J140" s="80">
        <v>0</v>
      </c>
      <c r="K140" s="80">
        <v>0</v>
      </c>
      <c r="L140" s="147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</row>
    <row r="141" spans="1:23" s="4" customFormat="1">
      <c r="B141" s="4">
        <v>162</v>
      </c>
      <c r="C141" s="44"/>
      <c r="D141" s="4" t="s">
        <v>158</v>
      </c>
      <c r="E141" s="80"/>
      <c r="F141" s="80"/>
      <c r="G141" s="234"/>
      <c r="H141" s="80">
        <f t="shared" si="14"/>
        <v>0</v>
      </c>
      <c r="I141" s="80"/>
      <c r="J141" s="80"/>
      <c r="K141" s="80"/>
      <c r="L141" s="147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</row>
    <row r="142" spans="1:23" s="4" customFormat="1">
      <c r="B142" s="4">
        <v>162</v>
      </c>
      <c r="C142" s="44">
        <v>5705277</v>
      </c>
      <c r="D142" s="4" t="s">
        <v>192</v>
      </c>
      <c r="E142" s="80">
        <v>7500</v>
      </c>
      <c r="F142" s="80">
        <v>11500</v>
      </c>
      <c r="G142" s="234">
        <f t="shared" si="13"/>
        <v>0</v>
      </c>
      <c r="H142" s="80">
        <f t="shared" si="14"/>
        <v>0</v>
      </c>
      <c r="I142" s="80">
        <v>11500</v>
      </c>
      <c r="J142" s="80">
        <v>11500</v>
      </c>
      <c r="K142" s="80">
        <v>11500</v>
      </c>
      <c r="L142" s="147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</row>
    <row r="143" spans="1:23" s="4" customFormat="1">
      <c r="B143" s="4">
        <v>162</v>
      </c>
      <c r="C143" s="44"/>
      <c r="D143" s="4" t="s">
        <v>193</v>
      </c>
      <c r="E143" s="80"/>
      <c r="F143" s="80"/>
      <c r="G143" s="234"/>
      <c r="H143" s="80">
        <f t="shared" si="14"/>
        <v>0</v>
      </c>
      <c r="I143" s="80"/>
      <c r="J143" s="80"/>
      <c r="K143" s="80"/>
      <c r="L143" s="147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</row>
    <row r="144" spans="1:23" s="4" customFormat="1">
      <c r="B144" s="4">
        <v>162</v>
      </c>
      <c r="C144" s="44"/>
      <c r="D144" s="4" t="s">
        <v>145</v>
      </c>
      <c r="E144" s="80"/>
      <c r="F144" s="80"/>
      <c r="G144" s="234"/>
      <c r="H144" s="80">
        <f t="shared" si="14"/>
        <v>0</v>
      </c>
      <c r="I144" s="80"/>
      <c r="J144" s="80"/>
      <c r="K144" s="80"/>
      <c r="L144" s="147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</row>
    <row r="145" spans="1:23" s="4" customFormat="1">
      <c r="B145" s="4">
        <v>162</v>
      </c>
      <c r="C145" s="44">
        <v>5705700</v>
      </c>
      <c r="D145" s="4" t="s">
        <v>194</v>
      </c>
      <c r="E145" s="80">
        <v>2100</v>
      </c>
      <c r="F145" s="80">
        <v>3200</v>
      </c>
      <c r="G145" s="234">
        <f t="shared" si="13"/>
        <v>0.25</v>
      </c>
      <c r="H145" s="80">
        <f t="shared" si="14"/>
        <v>800</v>
      </c>
      <c r="I145" s="80">
        <v>4000</v>
      </c>
      <c r="J145" s="80">
        <v>4000</v>
      </c>
      <c r="K145" s="80">
        <v>4000</v>
      </c>
      <c r="L145" s="147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</row>
    <row r="146" spans="1:23" s="4" customFormat="1">
      <c r="B146" s="4">
        <v>162</v>
      </c>
      <c r="C146" s="44"/>
      <c r="D146" s="4" t="s">
        <v>119</v>
      </c>
      <c r="E146" s="80"/>
      <c r="F146" s="80"/>
      <c r="G146" s="234"/>
      <c r="H146" s="80">
        <f t="shared" si="14"/>
        <v>0</v>
      </c>
      <c r="I146" s="80"/>
      <c r="J146" s="80"/>
      <c r="K146" s="80"/>
      <c r="L146" s="147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</row>
    <row r="147" spans="1:23" s="4" customFormat="1">
      <c r="C147" s="44"/>
      <c r="D147" s="4" t="s">
        <v>195</v>
      </c>
      <c r="E147" s="80"/>
      <c r="F147" s="80">
        <v>10000</v>
      </c>
      <c r="G147" s="234">
        <f>(I147-F147)/F147</f>
        <v>-1</v>
      </c>
      <c r="H147" s="80">
        <f t="shared" si="14"/>
        <v>-10000</v>
      </c>
      <c r="I147" s="80">
        <v>0</v>
      </c>
      <c r="J147" s="80">
        <v>0</v>
      </c>
      <c r="K147" s="80">
        <v>0</v>
      </c>
      <c r="L147" s="147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</row>
    <row r="148" spans="1:23" s="4" customFormat="1">
      <c r="C148" s="44"/>
      <c r="E148" s="80"/>
      <c r="F148" s="80"/>
      <c r="G148" s="234"/>
      <c r="H148" s="80">
        <f t="shared" si="14"/>
        <v>0</v>
      </c>
      <c r="I148" s="80"/>
      <c r="J148" s="80"/>
      <c r="K148" s="80"/>
      <c r="L148" s="147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</row>
    <row r="149" spans="1:23" s="6" customFormat="1">
      <c r="A149" s="4" t="s">
        <v>103</v>
      </c>
      <c r="B149" s="6" t="s">
        <v>104</v>
      </c>
      <c r="C149" s="43" t="s">
        <v>189</v>
      </c>
      <c r="E149" s="225">
        <f>SUM(E139:E148)</f>
        <v>17100</v>
      </c>
      <c r="F149" s="225">
        <f>SUM(F139:F148)</f>
        <v>36200</v>
      </c>
      <c r="G149" s="233">
        <f>(I149-F149)/F149</f>
        <v>8.2872928176795577E-3</v>
      </c>
      <c r="H149" s="225">
        <f t="shared" si="14"/>
        <v>300</v>
      </c>
      <c r="I149" s="225">
        <f>SUM(I139:I148)</f>
        <v>36500</v>
      </c>
      <c r="J149" s="225">
        <f>SUM(J139:J148)</f>
        <v>36500</v>
      </c>
      <c r="K149" s="225">
        <f>SUM(K139:K148)</f>
        <v>36500</v>
      </c>
      <c r="L149" s="147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</row>
    <row r="150" spans="1:23" s="4" customFormat="1">
      <c r="C150" s="44"/>
      <c r="E150" s="80"/>
      <c r="F150" s="80"/>
      <c r="G150" s="80"/>
      <c r="H150" s="80"/>
      <c r="I150" s="80"/>
      <c r="J150" s="80"/>
      <c r="K150" s="80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</row>
    <row r="151" spans="1:23" s="4" customFormat="1">
      <c r="B151" s="6">
        <v>175</v>
      </c>
      <c r="C151" s="43" t="s">
        <v>196</v>
      </c>
      <c r="D151" s="6"/>
      <c r="E151" s="225">
        <v>0</v>
      </c>
      <c r="F151" s="225">
        <v>0</v>
      </c>
      <c r="G151" s="225"/>
      <c r="H151" s="225">
        <f t="shared" si="14"/>
        <v>0</v>
      </c>
      <c r="I151" s="225">
        <v>0</v>
      </c>
      <c r="J151" s="225">
        <v>0</v>
      </c>
      <c r="K151" s="225">
        <v>0</v>
      </c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</row>
    <row r="152" spans="1:23" s="4" customFormat="1">
      <c r="B152" s="4">
        <v>175</v>
      </c>
      <c r="C152" s="44">
        <v>5105111</v>
      </c>
      <c r="D152" s="4" t="s">
        <v>197</v>
      </c>
      <c r="E152" s="94">
        <v>1200</v>
      </c>
      <c r="F152" s="94">
        <v>1200</v>
      </c>
      <c r="G152" s="234">
        <f>(I152-F152)/F152</f>
        <v>0</v>
      </c>
      <c r="H152" s="94">
        <f t="shared" si="14"/>
        <v>0</v>
      </c>
      <c r="I152" s="94">
        <v>1200</v>
      </c>
      <c r="J152" s="94">
        <v>1200</v>
      </c>
      <c r="K152" s="94">
        <v>1200</v>
      </c>
      <c r="L152" s="94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</row>
    <row r="153" spans="1:23" s="6" customFormat="1">
      <c r="A153" s="81"/>
      <c r="B153" s="81"/>
      <c r="C153" s="44"/>
      <c r="D153" s="4"/>
      <c r="E153" s="80"/>
      <c r="F153" s="80"/>
      <c r="G153" s="232"/>
      <c r="H153" s="80">
        <f t="shared" si="14"/>
        <v>0</v>
      </c>
      <c r="I153" s="80"/>
      <c r="J153" s="80"/>
      <c r="K153" s="80"/>
      <c r="L153" s="94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</row>
    <row r="154" spans="1:23" s="4" customFormat="1">
      <c r="A154" s="4" t="s">
        <v>103</v>
      </c>
      <c r="B154" s="6" t="s">
        <v>104</v>
      </c>
      <c r="C154" s="43" t="s">
        <v>198</v>
      </c>
      <c r="D154" s="6"/>
      <c r="E154" s="225">
        <f>SUM(E151:E153)</f>
        <v>1200</v>
      </c>
      <c r="F154" s="225">
        <f>SUM(F152:F153)</f>
        <v>1200</v>
      </c>
      <c r="G154" s="233">
        <f>(I154-F154)/F154</f>
        <v>0</v>
      </c>
      <c r="H154" s="225">
        <f t="shared" si="14"/>
        <v>0</v>
      </c>
      <c r="I154" s="225">
        <f>SUM(I152:I153)</f>
        <v>1200</v>
      </c>
      <c r="J154" s="225">
        <f>SUM(J152:J153)</f>
        <v>1200</v>
      </c>
      <c r="K154" s="225">
        <f>SUM(K152:K153)</f>
        <v>1200</v>
      </c>
      <c r="L154" s="94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</row>
    <row r="155" spans="1:23" s="6" customFormat="1">
      <c r="A155" s="4"/>
      <c r="B155" s="44"/>
      <c r="C155" s="44"/>
      <c r="D155" s="4"/>
      <c r="E155" s="80"/>
      <c r="F155" s="80"/>
      <c r="G155" s="80"/>
      <c r="H155" s="80"/>
      <c r="I155" s="80"/>
      <c r="J155" s="80"/>
      <c r="K155" s="80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</row>
    <row r="156" spans="1:23" s="6" customFormat="1">
      <c r="A156" s="4"/>
      <c r="B156" s="6">
        <v>192</v>
      </c>
      <c r="C156" s="43" t="s">
        <v>199</v>
      </c>
      <c r="E156" s="225"/>
      <c r="F156" s="225"/>
      <c r="G156" s="225"/>
      <c r="H156" s="225"/>
      <c r="I156" s="225"/>
      <c r="J156" s="225"/>
      <c r="K156" s="225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</row>
    <row r="157" spans="1:23" s="6" customFormat="1">
      <c r="A157" s="4"/>
      <c r="B157" s="4">
        <v>192</v>
      </c>
      <c r="C157" s="44">
        <v>5705115</v>
      </c>
      <c r="D157" s="4" t="s">
        <v>200</v>
      </c>
      <c r="E157" s="110">
        <v>18305</v>
      </c>
      <c r="F157" s="110">
        <v>18305</v>
      </c>
      <c r="G157" s="246">
        <f t="shared" ref="G157:G159" si="15">(I157-F157)/F157</f>
        <v>5.1663479923518205E-2</v>
      </c>
      <c r="H157" s="110">
        <f t="shared" si="14"/>
        <v>945.70000000000073</v>
      </c>
      <c r="I157" s="110">
        <f>19250.7</f>
        <v>19250.7</v>
      </c>
      <c r="J157" s="110">
        <f>19250.7</f>
        <v>19250.7</v>
      </c>
      <c r="K157" s="110">
        <f>19250.7</f>
        <v>19250.7</v>
      </c>
      <c r="L157" s="110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</row>
    <row r="158" spans="1:23" s="6" customFormat="1">
      <c r="A158" s="4"/>
      <c r="B158" s="4">
        <v>192</v>
      </c>
      <c r="C158" s="44">
        <v>5705211</v>
      </c>
      <c r="D158" s="4" t="s">
        <v>201</v>
      </c>
      <c r="E158" s="219">
        <v>16260</v>
      </c>
      <c r="F158" s="219">
        <v>17886</v>
      </c>
      <c r="G158" s="246">
        <f t="shared" si="15"/>
        <v>-4.9535949904953594E-2</v>
      </c>
      <c r="H158" s="219">
        <f t="shared" si="14"/>
        <v>-886</v>
      </c>
      <c r="I158" s="219">
        <v>17000</v>
      </c>
      <c r="J158" s="219">
        <v>17000</v>
      </c>
      <c r="K158" s="219">
        <v>17000</v>
      </c>
      <c r="L158" s="110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</row>
    <row r="159" spans="1:23" s="6" customFormat="1">
      <c r="A159" s="4"/>
      <c r="B159" s="4">
        <v>192</v>
      </c>
      <c r="C159" s="44">
        <v>5705251</v>
      </c>
      <c r="D159" s="4" t="s">
        <v>202</v>
      </c>
      <c r="E159" s="219">
        <v>1500</v>
      </c>
      <c r="F159" s="219">
        <v>1500</v>
      </c>
      <c r="G159" s="246">
        <f t="shared" si="15"/>
        <v>0</v>
      </c>
      <c r="H159" s="219">
        <f t="shared" si="14"/>
        <v>0</v>
      </c>
      <c r="I159" s="219">
        <v>1500</v>
      </c>
      <c r="J159" s="219">
        <v>1500</v>
      </c>
      <c r="K159" s="219">
        <v>1500</v>
      </c>
      <c r="L159" s="110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</row>
    <row r="160" spans="1:23" s="6" customFormat="1">
      <c r="A160" s="4"/>
      <c r="B160" s="4">
        <v>192</v>
      </c>
      <c r="C160" s="44"/>
      <c r="D160" s="4" t="s">
        <v>203</v>
      </c>
      <c r="E160" s="219"/>
      <c r="F160" s="219"/>
      <c r="G160" s="246"/>
      <c r="H160" s="219">
        <f t="shared" si="14"/>
        <v>0</v>
      </c>
      <c r="I160" s="219"/>
      <c r="J160" s="219"/>
      <c r="K160" s="219"/>
      <c r="L160" s="110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</row>
    <row r="161" spans="1:23" s="6" customFormat="1">
      <c r="A161" s="4"/>
      <c r="B161" s="4">
        <v>192</v>
      </c>
      <c r="C161" s="44">
        <v>5705207</v>
      </c>
      <c r="D161" s="4" t="s">
        <v>204</v>
      </c>
      <c r="E161" s="110">
        <v>0</v>
      </c>
      <c r="F161" s="110">
        <v>0</v>
      </c>
      <c r="G161" s="246"/>
      <c r="H161" s="110">
        <f t="shared" si="14"/>
        <v>0</v>
      </c>
      <c r="I161" s="110">
        <v>0</v>
      </c>
      <c r="J161" s="110">
        <v>0</v>
      </c>
      <c r="K161" s="110">
        <v>0</v>
      </c>
      <c r="L161" s="110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</row>
    <row r="162" spans="1:23" s="6" customFormat="1">
      <c r="A162" s="4"/>
      <c r="B162" s="4">
        <v>192</v>
      </c>
      <c r="C162" s="44">
        <v>5705700</v>
      </c>
      <c r="D162" s="4" t="s">
        <v>205</v>
      </c>
      <c r="E162" s="219">
        <v>12000</v>
      </c>
      <c r="F162" s="219">
        <v>10950</v>
      </c>
      <c r="G162" s="246">
        <f>(I162-F162)/F162</f>
        <v>9.5890410958904104E-2</v>
      </c>
      <c r="H162" s="219">
        <f t="shared" si="14"/>
        <v>1050</v>
      </c>
      <c r="I162" s="219">
        <v>12000</v>
      </c>
      <c r="J162" s="219">
        <v>12000</v>
      </c>
      <c r="K162" s="219">
        <v>12000</v>
      </c>
      <c r="L162" s="110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</row>
    <row r="163" spans="1:23" s="6" customFormat="1">
      <c r="A163" s="4"/>
      <c r="B163" s="4"/>
      <c r="C163" s="44"/>
      <c r="D163" s="4" t="s">
        <v>119</v>
      </c>
      <c r="E163" s="230"/>
      <c r="F163" s="230"/>
      <c r="G163" s="247"/>
      <c r="H163" s="230">
        <f t="shared" si="14"/>
        <v>0</v>
      </c>
      <c r="I163" s="230"/>
      <c r="J163" s="230"/>
      <c r="K163" s="230"/>
      <c r="L163" s="203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</row>
    <row r="164" spans="1:23" s="6" customFormat="1">
      <c r="A164" s="4"/>
      <c r="B164" s="4"/>
      <c r="C164" s="44"/>
      <c r="D164" s="4"/>
      <c r="E164" s="230"/>
      <c r="F164" s="230"/>
      <c r="G164" s="247"/>
      <c r="H164" s="230">
        <f t="shared" si="14"/>
        <v>0</v>
      </c>
      <c r="I164" s="230"/>
      <c r="J164" s="230"/>
      <c r="K164" s="230"/>
      <c r="L164" s="204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</row>
    <row r="165" spans="1:23" s="6" customFormat="1">
      <c r="A165" s="4" t="s">
        <v>103</v>
      </c>
      <c r="B165" s="6" t="s">
        <v>104</v>
      </c>
      <c r="C165" s="43" t="s">
        <v>206</v>
      </c>
      <c r="E165" s="225">
        <f>SUM(E157:E164)</f>
        <v>48065</v>
      </c>
      <c r="F165" s="225">
        <f>SUM(F157:F164)</f>
        <v>48641</v>
      </c>
      <c r="G165" s="233">
        <f>(I165-F165)/F165</f>
        <v>2.281408688143741E-2</v>
      </c>
      <c r="H165" s="225">
        <f t="shared" si="14"/>
        <v>1109.6999999999971</v>
      </c>
      <c r="I165" s="225">
        <f>SUM(I157:I164)</f>
        <v>49750.7</v>
      </c>
      <c r="J165" s="225">
        <f>SUM(J157:J164)</f>
        <v>49750.7</v>
      </c>
      <c r="K165" s="225">
        <f>SUM(K157:K164)</f>
        <v>49750.7</v>
      </c>
      <c r="L165" s="94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</row>
    <row r="166" spans="1:23" s="6" customFormat="1">
      <c r="A166" s="4"/>
      <c r="B166" s="44"/>
      <c r="C166" s="44"/>
      <c r="D166" s="4"/>
      <c r="E166" s="80"/>
      <c r="F166" s="80"/>
      <c r="G166" s="80"/>
      <c r="H166" s="80"/>
      <c r="I166" s="80"/>
      <c r="J166" s="80"/>
      <c r="K166" s="80"/>
      <c r="L166" s="81"/>
      <c r="M166" s="123">
        <f>SUM(I317:I319,I334:I341,I354:I355,I368)</f>
        <v>480915.8</v>
      </c>
      <c r="N166" s="81"/>
      <c r="O166" s="81"/>
      <c r="P166" s="81"/>
      <c r="Q166" s="81"/>
      <c r="R166" s="81"/>
      <c r="S166" s="81"/>
      <c r="T166" s="81"/>
      <c r="U166" s="81"/>
      <c r="V166" s="81"/>
      <c r="W166" s="81"/>
    </row>
    <row r="167" spans="1:23" s="4" customFormat="1">
      <c r="B167" s="6">
        <v>250</v>
      </c>
      <c r="C167" s="43" t="s">
        <v>207</v>
      </c>
      <c r="D167" s="6"/>
      <c r="E167" s="225"/>
      <c r="F167" s="225"/>
      <c r="G167" s="225"/>
      <c r="H167" s="225">
        <f t="shared" si="14"/>
        <v>0</v>
      </c>
      <c r="I167" s="225"/>
      <c r="J167" s="225"/>
      <c r="K167" s="225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</row>
    <row r="168" spans="1:23" s="4" customFormat="1">
      <c r="B168" s="44">
        <v>250</v>
      </c>
      <c r="C168" s="44">
        <v>5705211</v>
      </c>
      <c r="D168" s="4" t="s">
        <v>208</v>
      </c>
      <c r="E168" s="80">
        <v>26000</v>
      </c>
      <c r="F168" s="80">
        <v>27000</v>
      </c>
      <c r="G168" s="234">
        <f t="shared" ref="G168:G182" si="16">(I168-F168)/F168</f>
        <v>0.1111111111111111</v>
      </c>
      <c r="H168" s="80">
        <f t="shared" si="14"/>
        <v>3000</v>
      </c>
      <c r="I168" s="80">
        <v>30000</v>
      </c>
      <c r="J168" s="80">
        <v>30000</v>
      </c>
      <c r="K168" s="80">
        <v>30000</v>
      </c>
      <c r="L168" s="94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</row>
    <row r="169" spans="1:23" s="6" customFormat="1">
      <c r="A169" s="4"/>
      <c r="B169" s="44">
        <v>250</v>
      </c>
      <c r="C169" s="44">
        <v>5705700</v>
      </c>
      <c r="D169" s="4" t="s">
        <v>209</v>
      </c>
      <c r="E169" s="80">
        <v>1000</v>
      </c>
      <c r="F169" s="80">
        <v>1000</v>
      </c>
      <c r="G169" s="234">
        <f t="shared" si="16"/>
        <v>0.2</v>
      </c>
      <c r="H169" s="80">
        <f t="shared" si="14"/>
        <v>200</v>
      </c>
      <c r="I169" s="80">
        <v>1200</v>
      </c>
      <c r="J169" s="80">
        <v>1200</v>
      </c>
      <c r="K169" s="80">
        <v>1200</v>
      </c>
      <c r="L169" s="94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</row>
    <row r="170" spans="1:23" s="4" customFormat="1">
      <c r="B170" s="44">
        <v>250</v>
      </c>
      <c r="C170" s="44">
        <v>5705700</v>
      </c>
      <c r="D170" s="4" t="s">
        <v>210</v>
      </c>
      <c r="E170" s="80">
        <v>12000</v>
      </c>
      <c r="F170" s="80">
        <v>17350</v>
      </c>
      <c r="G170" s="234">
        <f t="shared" si="16"/>
        <v>0.44092219020172913</v>
      </c>
      <c r="H170" s="80">
        <f t="shared" si="14"/>
        <v>7650</v>
      </c>
      <c r="I170" s="80">
        <v>25000</v>
      </c>
      <c r="J170" s="80">
        <v>25000</v>
      </c>
      <c r="K170" s="80">
        <v>25000</v>
      </c>
      <c r="L170" s="94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</row>
    <row r="171" spans="1:23" s="6" customFormat="1">
      <c r="A171" s="4"/>
      <c r="B171" s="44">
        <v>250</v>
      </c>
      <c r="C171" s="44">
        <v>5705700</v>
      </c>
      <c r="D171" s="4" t="s">
        <v>211</v>
      </c>
      <c r="E171" s="80">
        <v>100</v>
      </c>
      <c r="F171" s="80">
        <v>0</v>
      </c>
      <c r="G171" s="234"/>
      <c r="H171" s="80">
        <f t="shared" si="14"/>
        <v>0</v>
      </c>
      <c r="I171" s="80">
        <v>0</v>
      </c>
      <c r="J171" s="80">
        <v>0</v>
      </c>
      <c r="K171" s="80">
        <v>0</v>
      </c>
      <c r="L171" s="94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</row>
    <row r="172" spans="1:23" s="4" customFormat="1">
      <c r="B172" s="44">
        <v>250</v>
      </c>
      <c r="C172" s="44">
        <v>5705700</v>
      </c>
      <c r="D172" s="4" t="s">
        <v>212</v>
      </c>
      <c r="E172" s="80">
        <v>4000</v>
      </c>
      <c r="F172" s="80">
        <v>4000</v>
      </c>
      <c r="G172" s="234">
        <f t="shared" si="16"/>
        <v>1</v>
      </c>
      <c r="H172" s="80">
        <f t="shared" si="14"/>
        <v>4000</v>
      </c>
      <c r="I172" s="80">
        <v>8000</v>
      </c>
      <c r="J172" s="80">
        <v>8000</v>
      </c>
      <c r="K172" s="80">
        <v>8000</v>
      </c>
      <c r="L172" s="94"/>
      <c r="M172" s="123">
        <f>SUM(I168:I185,I322:I330,I342:I348,I356:I361,I369)</f>
        <v>194654.46</v>
      </c>
      <c r="N172" s="81"/>
      <c r="O172" s="81"/>
      <c r="P172" s="81"/>
      <c r="Q172" s="81"/>
      <c r="R172" s="81"/>
      <c r="S172" s="81"/>
      <c r="T172" s="81"/>
      <c r="U172" s="81"/>
      <c r="V172" s="81"/>
      <c r="W172" s="81"/>
    </row>
    <row r="173" spans="1:23" s="4" customFormat="1">
      <c r="B173" s="44">
        <v>250</v>
      </c>
      <c r="C173" s="44">
        <v>5705700</v>
      </c>
      <c r="D173" s="4" t="s">
        <v>213</v>
      </c>
      <c r="E173" s="80">
        <v>2500</v>
      </c>
      <c r="F173" s="80">
        <v>2500</v>
      </c>
      <c r="G173" s="234">
        <f t="shared" si="16"/>
        <v>1</v>
      </c>
      <c r="H173" s="80">
        <f t="shared" si="14"/>
        <v>2500</v>
      </c>
      <c r="I173" s="80">
        <v>5000</v>
      </c>
      <c r="J173" s="80">
        <v>5000</v>
      </c>
      <c r="K173" s="80">
        <v>5000</v>
      </c>
      <c r="L173" s="94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</row>
    <row r="174" spans="1:23" s="4" customFormat="1">
      <c r="B174" s="44">
        <v>250</v>
      </c>
      <c r="C174" s="44">
        <v>5705700</v>
      </c>
      <c r="D174" s="4" t="s">
        <v>214</v>
      </c>
      <c r="E174" s="80">
        <v>1500</v>
      </c>
      <c r="F174" s="80">
        <v>0</v>
      </c>
      <c r="G174" s="234" t="e">
        <f t="shared" si="16"/>
        <v>#DIV/0!</v>
      </c>
      <c r="H174" s="80">
        <f t="shared" si="14"/>
        <v>0</v>
      </c>
      <c r="I174" s="80">
        <v>0</v>
      </c>
      <c r="J174" s="80">
        <v>0</v>
      </c>
      <c r="K174" s="80">
        <v>0</v>
      </c>
      <c r="L174" s="94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</row>
    <row r="175" spans="1:23" s="4" customFormat="1">
      <c r="B175" s="44">
        <v>250</v>
      </c>
      <c r="C175" s="44">
        <v>5705700</v>
      </c>
      <c r="D175" s="4" t="s">
        <v>215</v>
      </c>
      <c r="E175" s="80">
        <v>1000</v>
      </c>
      <c r="F175" s="80">
        <v>0</v>
      </c>
      <c r="G175" s="234"/>
      <c r="H175" s="80">
        <f t="shared" si="14"/>
        <v>0</v>
      </c>
      <c r="I175" s="80">
        <v>0</v>
      </c>
      <c r="J175" s="80">
        <v>0</v>
      </c>
      <c r="K175" s="80">
        <v>0</v>
      </c>
      <c r="L175" s="94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</row>
    <row r="176" spans="1:23" s="6" customFormat="1">
      <c r="A176" s="4"/>
      <c r="B176" s="44">
        <v>250</v>
      </c>
      <c r="C176" s="44">
        <v>5705700</v>
      </c>
      <c r="D176" s="4" t="s">
        <v>216</v>
      </c>
      <c r="E176" s="80">
        <v>1000</v>
      </c>
      <c r="F176" s="80">
        <v>0</v>
      </c>
      <c r="G176" s="234"/>
      <c r="H176" s="80">
        <f t="shared" si="14"/>
        <v>0</v>
      </c>
      <c r="I176" s="80">
        <v>0</v>
      </c>
      <c r="J176" s="80">
        <v>0</v>
      </c>
      <c r="K176" s="80">
        <v>0</v>
      </c>
      <c r="L176" s="94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</row>
    <row r="177" spans="1:23" s="4" customFormat="1">
      <c r="B177" s="44">
        <v>250</v>
      </c>
      <c r="C177" s="44">
        <v>5705700</v>
      </c>
      <c r="D177" s="4" t="s">
        <v>217</v>
      </c>
      <c r="E177" s="80">
        <v>1000</v>
      </c>
      <c r="F177" s="80">
        <v>0</v>
      </c>
      <c r="G177" s="234"/>
      <c r="H177" s="80">
        <f t="shared" si="14"/>
        <v>0</v>
      </c>
      <c r="I177" s="80">
        <v>0</v>
      </c>
      <c r="J177" s="80">
        <v>0</v>
      </c>
      <c r="K177" s="80">
        <v>0</v>
      </c>
      <c r="L177" s="94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</row>
    <row r="178" spans="1:23" s="6" customFormat="1">
      <c r="A178" s="4"/>
      <c r="B178" s="44">
        <v>250</v>
      </c>
      <c r="C178" s="44">
        <v>5705207</v>
      </c>
      <c r="D178" s="4" t="s">
        <v>218</v>
      </c>
      <c r="E178" s="94">
        <v>11000</v>
      </c>
      <c r="F178" s="94">
        <v>13000</v>
      </c>
      <c r="G178" s="234">
        <f t="shared" si="16"/>
        <v>0.23076923076923078</v>
      </c>
      <c r="H178" s="94">
        <f t="shared" si="14"/>
        <v>3000</v>
      </c>
      <c r="I178" s="94">
        <v>16000</v>
      </c>
      <c r="J178" s="94">
        <v>16000</v>
      </c>
      <c r="K178" s="94">
        <v>16000</v>
      </c>
      <c r="L178" s="94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</row>
    <row r="179" spans="1:23" s="4" customFormat="1">
      <c r="B179" s="44">
        <v>250</v>
      </c>
      <c r="C179" s="44">
        <v>5705700</v>
      </c>
      <c r="D179" s="4" t="s">
        <v>219</v>
      </c>
      <c r="E179" s="80">
        <v>1000</v>
      </c>
      <c r="F179" s="80"/>
      <c r="G179" s="234"/>
      <c r="H179" s="80">
        <f t="shared" si="14"/>
        <v>0</v>
      </c>
      <c r="I179" s="80"/>
      <c r="J179" s="80"/>
      <c r="K179" s="80"/>
      <c r="L179" s="94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</row>
    <row r="180" spans="1:23" s="4" customFormat="1">
      <c r="B180" s="44">
        <v>250</v>
      </c>
      <c r="C180" s="44">
        <v>5705700</v>
      </c>
      <c r="D180" s="4" t="s">
        <v>220</v>
      </c>
      <c r="E180" s="80">
        <v>250</v>
      </c>
      <c r="F180" s="80">
        <v>0</v>
      </c>
      <c r="G180" s="234"/>
      <c r="H180" s="80">
        <f t="shared" si="14"/>
        <v>0</v>
      </c>
      <c r="I180" s="80">
        <v>0</v>
      </c>
      <c r="J180" s="80">
        <v>0</v>
      </c>
      <c r="K180" s="80">
        <v>0</v>
      </c>
      <c r="L180" s="94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</row>
    <row r="181" spans="1:23" s="6" customFormat="1">
      <c r="A181" s="4"/>
      <c r="B181" s="44">
        <v>250</v>
      </c>
      <c r="C181" s="44">
        <v>5705342</v>
      </c>
      <c r="D181" s="4" t="s">
        <v>221</v>
      </c>
      <c r="E181" s="80">
        <v>7000</v>
      </c>
      <c r="F181" s="80">
        <v>7000</v>
      </c>
      <c r="G181" s="234">
        <f t="shared" si="16"/>
        <v>0.2857142857142857</v>
      </c>
      <c r="H181" s="80">
        <f t="shared" si="14"/>
        <v>2000</v>
      </c>
      <c r="I181" s="80">
        <v>9000</v>
      </c>
      <c r="J181" s="80">
        <v>9000</v>
      </c>
      <c r="K181" s="80">
        <v>9000</v>
      </c>
      <c r="L181" s="94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</row>
    <row r="182" spans="1:23" s="4" customFormat="1">
      <c r="B182" s="44">
        <v>250</v>
      </c>
      <c r="C182" s="44">
        <v>5705700</v>
      </c>
      <c r="D182" s="4" t="s">
        <v>222</v>
      </c>
      <c r="E182" s="94">
        <v>6500</v>
      </c>
      <c r="F182" s="94">
        <v>6800</v>
      </c>
      <c r="G182" s="234">
        <f t="shared" si="16"/>
        <v>0.3235294117647059</v>
      </c>
      <c r="H182" s="94">
        <f t="shared" si="14"/>
        <v>2200</v>
      </c>
      <c r="I182" s="94">
        <v>9000</v>
      </c>
      <c r="J182" s="94">
        <v>9000</v>
      </c>
      <c r="K182" s="94">
        <v>9000</v>
      </c>
      <c r="L182" s="94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</row>
    <row r="183" spans="1:23" s="4" customFormat="1">
      <c r="B183" s="44">
        <v>250</v>
      </c>
      <c r="C183" s="44">
        <v>5705700</v>
      </c>
      <c r="D183" s="4" t="s">
        <v>223</v>
      </c>
      <c r="E183" s="80">
        <v>300</v>
      </c>
      <c r="F183" s="80">
        <v>0</v>
      </c>
      <c r="G183" s="234"/>
      <c r="H183" s="80">
        <f t="shared" si="14"/>
        <v>0</v>
      </c>
      <c r="I183" s="80">
        <v>0</v>
      </c>
      <c r="J183" s="80">
        <v>0</v>
      </c>
      <c r="K183" s="80">
        <v>0</v>
      </c>
      <c r="L183" s="94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</row>
    <row r="184" spans="1:23" s="6" customFormat="1">
      <c r="A184" s="4"/>
      <c r="B184" s="44">
        <v>250</v>
      </c>
      <c r="C184" s="44">
        <v>5705700</v>
      </c>
      <c r="D184" s="4" t="s">
        <v>224</v>
      </c>
      <c r="E184" s="80">
        <v>500</v>
      </c>
      <c r="F184" s="80">
        <v>0</v>
      </c>
      <c r="G184" s="234"/>
      <c r="H184" s="80">
        <f t="shared" si="14"/>
        <v>0</v>
      </c>
      <c r="I184" s="80">
        <v>0</v>
      </c>
      <c r="J184" s="80">
        <v>0</v>
      </c>
      <c r="K184" s="80">
        <v>0</v>
      </c>
      <c r="L184" s="94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</row>
    <row r="185" spans="1:23" s="4" customFormat="1">
      <c r="B185" s="44">
        <v>250</v>
      </c>
      <c r="C185" s="44">
        <v>5705700</v>
      </c>
      <c r="D185" s="4" t="s">
        <v>225</v>
      </c>
      <c r="E185" s="80">
        <v>750</v>
      </c>
      <c r="F185" s="80">
        <v>750</v>
      </c>
      <c r="G185" s="234">
        <f>(I185-F185)/F185</f>
        <v>1</v>
      </c>
      <c r="H185" s="80">
        <f t="shared" si="14"/>
        <v>750</v>
      </c>
      <c r="I185" s="80">
        <v>1500</v>
      </c>
      <c r="J185" s="80">
        <v>1500</v>
      </c>
      <c r="K185" s="80">
        <v>1500</v>
      </c>
      <c r="L185" s="94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</row>
    <row r="186" spans="1:23" s="4" customFormat="1">
      <c r="B186" s="44">
        <v>250</v>
      </c>
      <c r="C186" s="44">
        <v>5705700</v>
      </c>
      <c r="D186" s="4" t="s">
        <v>226</v>
      </c>
      <c r="E186" s="94"/>
      <c r="F186" s="94"/>
      <c r="G186" s="234"/>
      <c r="H186" s="94">
        <f t="shared" si="14"/>
        <v>0</v>
      </c>
      <c r="I186" s="94"/>
      <c r="J186" s="94"/>
      <c r="K186" s="94"/>
      <c r="L186" s="128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</row>
    <row r="187" spans="1:23" s="4" customFormat="1">
      <c r="B187" s="44"/>
      <c r="C187" s="44"/>
      <c r="D187" s="81" t="s">
        <v>227</v>
      </c>
      <c r="E187" s="80"/>
      <c r="F187" s="80"/>
      <c r="G187" s="234"/>
      <c r="H187" s="80">
        <f t="shared" si="14"/>
        <v>0</v>
      </c>
      <c r="I187" s="80"/>
      <c r="J187" s="80"/>
      <c r="K187" s="80"/>
      <c r="L187" s="94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</row>
    <row r="188" spans="1:23" s="6" customFormat="1">
      <c r="A188" s="4"/>
      <c r="B188" s="44">
        <v>250</v>
      </c>
      <c r="C188" s="44">
        <v>5705850</v>
      </c>
      <c r="D188" s="4" t="s">
        <v>149</v>
      </c>
      <c r="E188" s="80">
        <v>0</v>
      </c>
      <c r="F188" s="80">
        <v>0</v>
      </c>
      <c r="G188" s="234"/>
      <c r="H188" s="80">
        <f t="shared" si="14"/>
        <v>0</v>
      </c>
      <c r="I188" s="80">
        <v>0</v>
      </c>
      <c r="J188" s="80">
        <v>0</v>
      </c>
      <c r="K188" s="80">
        <v>0</v>
      </c>
      <c r="L188" s="94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</row>
    <row r="189" spans="1:23" s="6" customFormat="1">
      <c r="A189" s="4" t="s">
        <v>228</v>
      </c>
      <c r="B189" s="6" t="s">
        <v>104</v>
      </c>
      <c r="C189" s="43" t="s">
        <v>207</v>
      </c>
      <c r="E189" s="225">
        <f>SUM(E168:E188)</f>
        <v>77400</v>
      </c>
      <c r="F189" s="225">
        <f>SUM(F168:F188)</f>
        <v>79400</v>
      </c>
      <c r="G189" s="233">
        <f>(I189-F189)/F189</f>
        <v>0.31863979848866497</v>
      </c>
      <c r="H189" s="225">
        <f t="shared" si="14"/>
        <v>25300</v>
      </c>
      <c r="I189" s="225">
        <f>SUM(I168:I188)</f>
        <v>104700</v>
      </c>
      <c r="J189" s="225">
        <f>SUM(J168:J188)</f>
        <v>104700</v>
      </c>
      <c r="K189" s="225">
        <f>SUM(K168:K188)</f>
        <v>104700</v>
      </c>
      <c r="L189" s="94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</row>
    <row r="190" spans="1:23" s="4" customFormat="1">
      <c r="B190" s="44"/>
      <c r="C190" s="44"/>
      <c r="E190" s="80"/>
      <c r="F190" s="80"/>
      <c r="G190" s="80"/>
      <c r="H190" s="80"/>
      <c r="I190" s="80"/>
      <c r="J190" s="80"/>
      <c r="K190" s="80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</row>
    <row r="191" spans="1:23" s="4" customFormat="1">
      <c r="B191" s="6"/>
      <c r="C191" s="43" t="s">
        <v>229</v>
      </c>
      <c r="D191" s="6"/>
      <c r="E191" s="225"/>
      <c r="F191" s="225"/>
      <c r="G191" s="225"/>
      <c r="H191" s="225">
        <f t="shared" si="14"/>
        <v>0</v>
      </c>
      <c r="I191" s="225"/>
      <c r="J191" s="225"/>
      <c r="K191" s="225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</row>
    <row r="192" spans="1:23" s="6" customFormat="1">
      <c r="A192" s="4"/>
      <c r="B192" s="4">
        <v>830</v>
      </c>
      <c r="C192" s="44">
        <v>5605622</v>
      </c>
      <c r="D192" s="4" t="s">
        <v>230</v>
      </c>
      <c r="E192" s="80">
        <v>891595</v>
      </c>
      <c r="F192" s="80">
        <v>1015532</v>
      </c>
      <c r="G192" s="232">
        <f>(I192-F192)/F192</f>
        <v>5.8229578191529172E-2</v>
      </c>
      <c r="H192" s="80">
        <f t="shared" si="14"/>
        <v>59134</v>
      </c>
      <c r="I192" s="80">
        <v>1074666</v>
      </c>
      <c r="J192" s="80">
        <v>1074666</v>
      </c>
      <c r="K192" s="80">
        <v>1074666</v>
      </c>
      <c r="L192" s="94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</row>
    <row r="193" spans="1:23" s="4" customFormat="1">
      <c r="B193" s="4">
        <v>910</v>
      </c>
      <c r="C193" s="44">
        <v>5705173</v>
      </c>
      <c r="D193" s="4" t="s">
        <v>231</v>
      </c>
      <c r="E193" s="94">
        <v>195000</v>
      </c>
      <c r="F193" s="94">
        <v>200000</v>
      </c>
      <c r="G193" s="232">
        <f t="shared" ref="G193" si="17">(I193-F193)/F193</f>
        <v>0.04</v>
      </c>
      <c r="H193" s="94">
        <f t="shared" si="14"/>
        <v>8000</v>
      </c>
      <c r="I193" s="94">
        <v>208000</v>
      </c>
      <c r="J193" s="94">
        <v>208000</v>
      </c>
      <c r="K193" s="94">
        <v>208000</v>
      </c>
      <c r="L193" s="94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</row>
    <row r="194" spans="1:23" s="6" customFormat="1">
      <c r="A194" s="4"/>
      <c r="B194" s="4"/>
      <c r="C194" s="44"/>
      <c r="D194" s="4"/>
      <c r="E194" s="80"/>
      <c r="F194" s="80"/>
      <c r="G194" s="232"/>
      <c r="H194" s="80">
        <f t="shared" si="14"/>
        <v>0</v>
      </c>
      <c r="I194" s="80"/>
      <c r="J194" s="80"/>
      <c r="K194" s="80"/>
      <c r="L194" s="94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</row>
    <row r="195" spans="1:23" s="4" customFormat="1">
      <c r="A195" s="4" t="s">
        <v>232</v>
      </c>
      <c r="B195" s="6" t="s">
        <v>104</v>
      </c>
      <c r="C195" s="43" t="s">
        <v>233</v>
      </c>
      <c r="D195" s="6"/>
      <c r="E195" s="225">
        <f>SUM(E192:E194)</f>
        <v>1086595</v>
      </c>
      <c r="F195" s="225">
        <f>SUM(F192:F194)</f>
        <v>1215532</v>
      </c>
      <c r="G195" s="233">
        <f>(I195-F195)/F195</f>
        <v>5.52301379149212E-2</v>
      </c>
      <c r="H195" s="225">
        <f t="shared" si="14"/>
        <v>67134</v>
      </c>
      <c r="I195" s="225">
        <f>SUM(I192:I194)</f>
        <v>1282666</v>
      </c>
      <c r="J195" s="225">
        <f>SUM(J192:J194)</f>
        <v>1282666</v>
      </c>
      <c r="K195" s="225">
        <f>SUM(K192:K194)</f>
        <v>1282666</v>
      </c>
      <c r="L195" s="94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</row>
    <row r="196" spans="1:23" s="4" customFormat="1">
      <c r="C196" s="44"/>
      <c r="E196" s="80"/>
      <c r="F196" s="80"/>
      <c r="G196" s="80"/>
      <c r="H196" s="80"/>
      <c r="I196" s="80"/>
      <c r="J196" s="80"/>
      <c r="K196" s="80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</row>
    <row r="197" spans="1:23" s="4" customFormat="1">
      <c r="B197" s="6">
        <v>940</v>
      </c>
      <c r="C197" s="43" t="s">
        <v>234</v>
      </c>
      <c r="D197" s="6"/>
      <c r="E197" s="225"/>
      <c r="F197" s="225"/>
      <c r="G197" s="225"/>
      <c r="H197" s="225">
        <f t="shared" si="14"/>
        <v>0</v>
      </c>
      <c r="I197" s="225"/>
      <c r="J197" s="225"/>
      <c r="K197" s="225"/>
      <c r="L197" s="123">
        <f>SUM(I388,I208)</f>
        <v>1702601</v>
      </c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</row>
    <row r="198" spans="1:23" s="6" customFormat="1">
      <c r="A198" s="4"/>
      <c r="B198" s="4">
        <v>940</v>
      </c>
      <c r="C198" s="44">
        <v>5705740</v>
      </c>
      <c r="D198" s="4" t="s">
        <v>235</v>
      </c>
      <c r="E198" s="94">
        <v>20000</v>
      </c>
      <c r="F198" s="94">
        <v>21000</v>
      </c>
      <c r="G198" s="234">
        <f t="shared" ref="G198" si="18">(I198-F198)/E198</f>
        <v>-0.95</v>
      </c>
      <c r="H198" s="94">
        <f t="shared" si="14"/>
        <v>-19000</v>
      </c>
      <c r="I198" s="94">
        <v>2000</v>
      </c>
      <c r="J198" s="94">
        <v>2000</v>
      </c>
      <c r="K198" s="94">
        <v>2000</v>
      </c>
      <c r="L198" s="94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</row>
    <row r="199" spans="1:23" s="4" customFormat="1">
      <c r="C199" s="44"/>
      <c r="E199" s="224"/>
      <c r="F199" s="224"/>
      <c r="G199" s="243"/>
      <c r="H199" s="224">
        <f t="shared" si="14"/>
        <v>0</v>
      </c>
      <c r="I199" s="224"/>
      <c r="J199" s="224"/>
      <c r="K199" s="224"/>
      <c r="L199" s="94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</row>
    <row r="200" spans="1:23" s="6" customFormat="1">
      <c r="A200" s="4" t="s">
        <v>236</v>
      </c>
      <c r="B200" s="6" t="s">
        <v>104</v>
      </c>
      <c r="C200" s="43" t="s">
        <v>237</v>
      </c>
      <c r="E200" s="225">
        <f>SUM(E198:E199)</f>
        <v>20000</v>
      </c>
      <c r="F200" s="225">
        <f>SUM(F198:F199)</f>
        <v>21000</v>
      </c>
      <c r="G200" s="233">
        <f>(I200-F200)/F200</f>
        <v>-0.90476190476190477</v>
      </c>
      <c r="H200" s="225">
        <f t="shared" si="14"/>
        <v>-19000</v>
      </c>
      <c r="I200" s="225">
        <f>SUM(I198:I199)</f>
        <v>2000</v>
      </c>
      <c r="J200" s="225">
        <f>SUM(J198:J199)</f>
        <v>2000</v>
      </c>
      <c r="K200" s="225">
        <f>SUM(K198:K199)</f>
        <v>2000</v>
      </c>
      <c r="L200" s="94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</row>
    <row r="201" spans="1:23" s="4" customFormat="1">
      <c r="C201" s="44"/>
      <c r="E201" s="80"/>
      <c r="F201" s="80"/>
      <c r="G201" s="80"/>
      <c r="H201" s="80"/>
      <c r="I201" s="80"/>
      <c r="J201" s="80"/>
      <c r="K201" s="80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</row>
    <row r="202" spans="1:23" s="4" customFormat="1">
      <c r="B202" s="6">
        <v>910</v>
      </c>
      <c r="C202" s="43" t="s">
        <v>238</v>
      </c>
      <c r="D202" s="6"/>
      <c r="E202" s="225"/>
      <c r="F202" s="225"/>
      <c r="G202" s="225"/>
      <c r="H202" s="225">
        <f t="shared" si="14"/>
        <v>0</v>
      </c>
      <c r="I202" s="225"/>
      <c r="J202" s="225"/>
      <c r="K202" s="225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</row>
    <row r="203" spans="1:23" s="4" customFormat="1">
      <c r="B203" s="4">
        <v>910</v>
      </c>
      <c r="C203" s="44">
        <v>5705172</v>
      </c>
      <c r="D203" s="4" t="s">
        <v>239</v>
      </c>
      <c r="E203" s="94">
        <v>75000</v>
      </c>
      <c r="F203" s="94">
        <v>60000</v>
      </c>
      <c r="G203" s="234">
        <f t="shared" ref="G203" si="19">(I203-F203)/F203</f>
        <v>0</v>
      </c>
      <c r="H203" s="94">
        <f t="shared" ref="H203:H231" si="20">I203-F203</f>
        <v>0</v>
      </c>
      <c r="I203" s="94">
        <v>60000</v>
      </c>
      <c r="J203" s="94">
        <v>60000</v>
      </c>
      <c r="K203" s="94">
        <v>60000</v>
      </c>
      <c r="L203" s="94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</row>
    <row r="204" spans="1:23" s="4" customFormat="1">
      <c r="C204" s="44"/>
      <c r="E204" s="80"/>
      <c r="F204" s="80"/>
      <c r="G204" s="234"/>
      <c r="H204" s="80">
        <f t="shared" si="20"/>
        <v>0</v>
      </c>
      <c r="I204" s="80"/>
      <c r="J204" s="80"/>
      <c r="K204" s="80"/>
      <c r="L204" s="94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</row>
    <row r="205" spans="1:23" s="4" customFormat="1">
      <c r="A205" s="4" t="s">
        <v>236</v>
      </c>
      <c r="B205" s="6" t="s">
        <v>104</v>
      </c>
      <c r="C205" s="43" t="s">
        <v>238</v>
      </c>
      <c r="D205" s="6"/>
      <c r="E205" s="225">
        <f>SUM(E203:E204)</f>
        <v>75000</v>
      </c>
      <c r="F205" s="225">
        <f>SUM(F203:F204)</f>
        <v>60000</v>
      </c>
      <c r="G205" s="233">
        <f>(I205-F205)/F205</f>
        <v>0</v>
      </c>
      <c r="H205" s="225">
        <f t="shared" si="20"/>
        <v>0</v>
      </c>
      <c r="I205" s="225">
        <f>SUM(I203:I204)</f>
        <v>60000</v>
      </c>
      <c r="J205" s="225">
        <f>SUM(J203:J204)</f>
        <v>60000</v>
      </c>
      <c r="K205" s="225">
        <f>SUM(K203:K204)</f>
        <v>60000</v>
      </c>
      <c r="L205" s="94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</row>
    <row r="206" spans="1:23" s="4" customFormat="1">
      <c r="C206" s="44"/>
      <c r="E206" s="80"/>
      <c r="F206" s="80"/>
      <c r="G206" s="80"/>
      <c r="H206" s="80"/>
      <c r="I206" s="80"/>
      <c r="J206" s="80"/>
      <c r="K206" s="80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</row>
    <row r="207" spans="1:23" s="4" customFormat="1">
      <c r="B207" s="6">
        <v>910</v>
      </c>
      <c r="C207" s="43" t="s">
        <v>240</v>
      </c>
      <c r="D207" s="6"/>
      <c r="E207" s="225"/>
      <c r="F207" s="225"/>
      <c r="G207" s="225"/>
      <c r="H207" s="225">
        <f t="shared" si="20"/>
        <v>0</v>
      </c>
      <c r="I207" s="225"/>
      <c r="J207" s="225"/>
      <c r="K207" s="225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</row>
    <row r="208" spans="1:23" s="4" customFormat="1">
      <c r="B208" s="4">
        <v>910</v>
      </c>
      <c r="C208" s="44">
        <v>5115171</v>
      </c>
      <c r="D208" s="4" t="s">
        <v>241</v>
      </c>
      <c r="E208" s="94">
        <f>444765*1.0721</f>
        <v>476832.55650000001</v>
      </c>
      <c r="F208" s="94">
        <v>546496.97</v>
      </c>
      <c r="G208" s="234">
        <f>(I208-F208)/F208</f>
        <v>5.8851250355514376E-2</v>
      </c>
      <c r="H208" s="94">
        <f t="shared" si="20"/>
        <v>32162.030000000028</v>
      </c>
      <c r="I208" s="94">
        <f>578659</f>
        <v>578659</v>
      </c>
      <c r="J208" s="94">
        <f>578659</f>
        <v>578659</v>
      </c>
      <c r="K208" s="94">
        <f>578659</f>
        <v>578659</v>
      </c>
      <c r="L208" s="147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</row>
    <row r="209" spans="1:23" s="4" customFormat="1">
      <c r="B209" s="4">
        <v>910</v>
      </c>
      <c r="C209" s="44"/>
      <c r="D209" s="4" t="s">
        <v>242</v>
      </c>
      <c r="E209" s="80"/>
      <c r="F209" s="80"/>
      <c r="G209" s="232"/>
      <c r="H209" s="80">
        <f t="shared" si="20"/>
        <v>0</v>
      </c>
      <c r="I209" s="80"/>
      <c r="J209" s="80"/>
      <c r="K209" s="80"/>
      <c r="L209" s="147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</row>
    <row r="210" spans="1:23" s="4" customFormat="1">
      <c r="C210" s="44"/>
      <c r="E210" s="80"/>
      <c r="F210" s="80"/>
      <c r="G210" s="232"/>
      <c r="H210" s="80">
        <f t="shared" si="20"/>
        <v>0</v>
      </c>
      <c r="I210" s="80"/>
      <c r="J210" s="80"/>
      <c r="K210" s="80"/>
      <c r="L210" s="147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</row>
    <row r="211" spans="1:23" s="4" customFormat="1">
      <c r="A211" s="4" t="s">
        <v>236</v>
      </c>
      <c r="B211" s="6" t="s">
        <v>104</v>
      </c>
      <c r="C211" s="43" t="s">
        <v>243</v>
      </c>
      <c r="D211" s="6"/>
      <c r="E211" s="225">
        <f>SUM(E208:E210)</f>
        <v>476832.55650000001</v>
      </c>
      <c r="F211" s="225">
        <f>SUM(F208:F210)</f>
        <v>546496.97</v>
      </c>
      <c r="G211" s="233">
        <f>(I211-F211)/F211</f>
        <v>5.8851250355514376E-2</v>
      </c>
      <c r="H211" s="225">
        <f t="shared" si="20"/>
        <v>32162.030000000028</v>
      </c>
      <c r="I211" s="225">
        <f>SUM(I208:I210)</f>
        <v>578659</v>
      </c>
      <c r="J211" s="225">
        <f>SUM(J208:J210)</f>
        <v>578659</v>
      </c>
      <c r="K211" s="225">
        <f>SUM(K208:K210)</f>
        <v>578659</v>
      </c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</row>
    <row r="212" spans="1:23" s="4" customFormat="1">
      <c r="C212" s="44"/>
      <c r="E212" s="80"/>
      <c r="F212" s="80"/>
      <c r="G212" s="80"/>
      <c r="H212" s="80"/>
      <c r="I212" s="80"/>
      <c r="J212" s="80"/>
      <c r="K212" s="80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</row>
    <row r="213" spans="1:23" s="4" customFormat="1">
      <c r="B213" s="6">
        <v>940</v>
      </c>
      <c r="C213" s="43" t="s">
        <v>244</v>
      </c>
      <c r="D213" s="6"/>
      <c r="E213" s="225"/>
      <c r="F213" s="225"/>
      <c r="G213" s="225"/>
      <c r="H213" s="225">
        <f t="shared" si="20"/>
        <v>0</v>
      </c>
      <c r="I213" s="225"/>
      <c r="J213" s="225"/>
      <c r="K213" s="225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</row>
    <row r="214" spans="1:23" s="4" customFormat="1">
      <c r="B214" s="4">
        <v>940</v>
      </c>
      <c r="C214" s="44">
        <v>5705748</v>
      </c>
      <c r="D214" s="4" t="s">
        <v>245</v>
      </c>
      <c r="E214" s="94">
        <f>60141+7415</f>
        <v>67556</v>
      </c>
      <c r="F214" s="94">
        <v>69000</v>
      </c>
      <c r="G214" s="234">
        <f t="shared" ref="G214:G215" si="21">(I214-F214)/F214</f>
        <v>0</v>
      </c>
      <c r="H214" s="94">
        <f t="shared" si="20"/>
        <v>0</v>
      </c>
      <c r="I214" s="94">
        <v>69000</v>
      </c>
      <c r="J214" s="94">
        <v>69000</v>
      </c>
      <c r="K214" s="94">
        <v>69000</v>
      </c>
      <c r="L214" s="94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</row>
    <row r="215" spans="1:23" s="4" customFormat="1">
      <c r="B215" s="4">
        <v>940</v>
      </c>
      <c r="C215" s="112">
        <v>5705740</v>
      </c>
      <c r="D215" s="4" t="s">
        <v>246</v>
      </c>
      <c r="E215" s="94">
        <v>84545</v>
      </c>
      <c r="F215" s="94">
        <v>91515</v>
      </c>
      <c r="G215" s="234">
        <f t="shared" si="21"/>
        <v>0.20761623777522811</v>
      </c>
      <c r="H215" s="94">
        <f t="shared" si="20"/>
        <v>19000</v>
      </c>
      <c r="I215" s="94">
        <v>110515</v>
      </c>
      <c r="J215" s="94">
        <v>110515</v>
      </c>
      <c r="K215" s="94">
        <v>110515</v>
      </c>
      <c r="L215" s="94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</row>
    <row r="216" spans="1:23" s="4" customFormat="1">
      <c r="C216" s="44"/>
      <c r="E216" s="80"/>
      <c r="F216" s="80"/>
      <c r="G216" s="234"/>
      <c r="H216" s="80">
        <f t="shared" si="20"/>
        <v>0</v>
      </c>
      <c r="I216" s="80"/>
      <c r="J216" s="80"/>
      <c r="K216" s="80"/>
      <c r="L216" s="94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</row>
    <row r="217" spans="1:23" s="4" customFormat="1">
      <c r="A217" s="4" t="s">
        <v>236</v>
      </c>
      <c r="B217" s="6" t="s">
        <v>104</v>
      </c>
      <c r="C217" s="43" t="s">
        <v>247</v>
      </c>
      <c r="D217" s="6"/>
      <c r="E217" s="225">
        <f>SUM(E214:E216)</f>
        <v>152101</v>
      </c>
      <c r="F217" s="225">
        <f>SUM(F214:F216)</f>
        <v>160515</v>
      </c>
      <c r="G217" s="233">
        <f>(I217-F217)/F217</f>
        <v>0.11836899978195184</v>
      </c>
      <c r="H217" s="225">
        <f t="shared" si="20"/>
        <v>19000</v>
      </c>
      <c r="I217" s="225">
        <f>SUM(I214:I216)</f>
        <v>179515</v>
      </c>
      <c r="J217" s="225">
        <f>SUM(J214:J216)</f>
        <v>179515</v>
      </c>
      <c r="K217" s="225">
        <f>SUM(K214:K216)</f>
        <v>179515</v>
      </c>
      <c r="L217" s="94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</row>
    <row r="218" spans="1:23" s="4" customFormat="1">
      <c r="C218" s="44"/>
      <c r="E218" s="80"/>
      <c r="F218" s="80"/>
      <c r="G218" s="80"/>
      <c r="H218" s="80"/>
      <c r="I218" s="80"/>
      <c r="J218" s="80"/>
      <c r="K218" s="80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  <c r="W218" s="81"/>
    </row>
    <row r="219" spans="1:23" s="4" customFormat="1">
      <c r="B219" s="6">
        <v>210</v>
      </c>
      <c r="C219" s="43" t="s">
        <v>248</v>
      </c>
      <c r="D219" s="6"/>
      <c r="E219" s="225"/>
      <c r="F219" s="225"/>
      <c r="G219" s="225"/>
      <c r="H219" s="225">
        <f t="shared" si="20"/>
        <v>0</v>
      </c>
      <c r="I219" s="225"/>
      <c r="J219" s="225"/>
      <c r="K219" s="225"/>
      <c r="L219" s="81"/>
      <c r="M219" s="81"/>
      <c r="N219" s="81"/>
      <c r="O219" s="81"/>
      <c r="P219" s="81"/>
      <c r="Q219" s="81"/>
      <c r="R219" s="81"/>
      <c r="S219" s="81"/>
      <c r="T219" s="81"/>
      <c r="U219" s="81"/>
      <c r="V219" s="81"/>
      <c r="W219" s="81"/>
    </row>
    <row r="220" spans="1:23" s="4" customFormat="1">
      <c r="B220" s="4">
        <v>210</v>
      </c>
      <c r="C220" s="44">
        <v>5105110</v>
      </c>
      <c r="D220" s="4" t="s">
        <v>249</v>
      </c>
      <c r="E220" s="80">
        <v>130000</v>
      </c>
      <c r="F220" s="80">
        <v>155000</v>
      </c>
      <c r="G220" s="232">
        <f>(I220-F220)/F220</f>
        <v>0.16458064516129031</v>
      </c>
      <c r="H220" s="80">
        <f t="shared" si="20"/>
        <v>25510</v>
      </c>
      <c r="I220" s="256">
        <v>180510</v>
      </c>
      <c r="J220" s="256">
        <v>180510</v>
      </c>
      <c r="K220" s="256">
        <v>180510</v>
      </c>
      <c r="L220" s="95"/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</row>
    <row r="221" spans="1:23" s="4" customFormat="1">
      <c r="B221" s="4">
        <v>210</v>
      </c>
      <c r="C221" s="44">
        <v>5105110</v>
      </c>
      <c r="D221" s="4" t="s">
        <v>250</v>
      </c>
      <c r="E221" s="94">
        <v>880177</v>
      </c>
      <c r="F221" s="94">
        <v>908782</v>
      </c>
      <c r="G221" s="232">
        <f t="shared" ref="G221:G230" si="22">(I221-F221)/F221</f>
        <v>0.22968214599320849</v>
      </c>
      <c r="H221" s="94">
        <f t="shared" si="20"/>
        <v>208731</v>
      </c>
      <c r="I221" s="256">
        <v>1117513</v>
      </c>
      <c r="J221" s="256">
        <v>1117513</v>
      </c>
      <c r="K221" s="256">
        <v>1117513</v>
      </c>
      <c r="L221" s="95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</row>
    <row r="222" spans="1:23" s="4" customFormat="1">
      <c r="B222" s="4">
        <v>210</v>
      </c>
      <c r="C222" s="44">
        <v>5105110</v>
      </c>
      <c r="D222" s="4" t="s">
        <v>251</v>
      </c>
      <c r="E222" s="80">
        <v>40010</v>
      </c>
      <c r="F222" s="80">
        <v>40490</v>
      </c>
      <c r="G222" s="232">
        <f t="shared" si="22"/>
        <v>0.2</v>
      </c>
      <c r="H222" s="80">
        <f t="shared" si="20"/>
        <v>8098</v>
      </c>
      <c r="I222" s="256">
        <v>48588</v>
      </c>
      <c r="J222" s="256">
        <v>48588</v>
      </c>
      <c r="K222" s="256">
        <v>48588</v>
      </c>
      <c r="L222" s="95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</row>
    <row r="223" spans="1:23" s="4" customFormat="1">
      <c r="B223" s="4">
        <v>210</v>
      </c>
      <c r="C223" s="44">
        <v>5105110</v>
      </c>
      <c r="D223" s="4" t="s">
        <v>252</v>
      </c>
      <c r="E223" s="80">
        <v>52801</v>
      </c>
      <c r="F223" s="80">
        <v>52801</v>
      </c>
      <c r="G223" s="232">
        <f t="shared" si="22"/>
        <v>-3.0018370864188178E-2</v>
      </c>
      <c r="H223" s="80">
        <f t="shared" si="20"/>
        <v>-1585</v>
      </c>
      <c r="I223" s="256">
        <v>51216</v>
      </c>
      <c r="J223" s="256">
        <v>51216</v>
      </c>
      <c r="K223" s="256">
        <v>51216</v>
      </c>
      <c r="L223" s="95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</row>
    <row r="224" spans="1:23" s="4" customFormat="1">
      <c r="B224" s="4">
        <v>210</v>
      </c>
      <c r="C224" s="44">
        <v>5105110</v>
      </c>
      <c r="D224" s="4" t="s">
        <v>253</v>
      </c>
      <c r="E224" s="80">
        <v>242414</v>
      </c>
      <c r="F224" s="80">
        <v>245323</v>
      </c>
      <c r="G224" s="232">
        <f t="shared" si="22"/>
        <v>1.999812492102249E-2</v>
      </c>
      <c r="H224" s="80">
        <f t="shared" si="20"/>
        <v>4906</v>
      </c>
      <c r="I224" s="256">
        <v>250229</v>
      </c>
      <c r="J224" s="256">
        <v>250229</v>
      </c>
      <c r="K224" s="256">
        <v>250229</v>
      </c>
      <c r="L224" s="95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</row>
    <row r="225" spans="2:23" s="4" customFormat="1">
      <c r="B225" s="4">
        <v>210</v>
      </c>
      <c r="C225" s="44">
        <v>5105110</v>
      </c>
      <c r="D225" s="4" t="s">
        <v>254</v>
      </c>
      <c r="E225" s="80">
        <v>5000</v>
      </c>
      <c r="F225" s="80">
        <v>5000</v>
      </c>
      <c r="G225" s="232">
        <f t="shared" si="22"/>
        <v>0</v>
      </c>
      <c r="H225" s="80">
        <f t="shared" si="20"/>
        <v>0</v>
      </c>
      <c r="I225" s="256">
        <v>5000</v>
      </c>
      <c r="J225" s="256">
        <v>5000</v>
      </c>
      <c r="K225" s="256">
        <v>5000</v>
      </c>
      <c r="L225" s="95">
        <f>SUM(I220:I232)</f>
        <v>1778556</v>
      </c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</row>
    <row r="226" spans="2:23" s="4" customFormat="1">
      <c r="B226" s="4">
        <v>210</v>
      </c>
      <c r="C226" s="44"/>
      <c r="D226" s="4" t="s">
        <v>255</v>
      </c>
      <c r="E226" s="80">
        <v>4000</v>
      </c>
      <c r="F226" s="80">
        <v>4048</v>
      </c>
      <c r="G226" s="232">
        <f t="shared" si="22"/>
        <v>4.9901185770750991E-2</v>
      </c>
      <c r="H226" s="80">
        <f t="shared" si="20"/>
        <v>202</v>
      </c>
      <c r="I226" s="256">
        <v>4250</v>
      </c>
      <c r="J226" s="256">
        <v>4250</v>
      </c>
      <c r="K226" s="256">
        <v>4250</v>
      </c>
      <c r="L226" s="95">
        <f>SUM(I233:I264)</f>
        <v>149536</v>
      </c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</row>
    <row r="227" spans="2:23" s="4" customFormat="1">
      <c r="B227" s="4">
        <v>210</v>
      </c>
      <c r="C227" s="44">
        <v>5105110</v>
      </c>
      <c r="D227" s="4" t="s">
        <v>256</v>
      </c>
      <c r="E227" s="80">
        <v>4000</v>
      </c>
      <c r="F227" s="80">
        <v>4048</v>
      </c>
      <c r="G227" s="232">
        <f t="shared" si="22"/>
        <v>4.9901185770750991E-2</v>
      </c>
      <c r="H227" s="80">
        <f t="shared" si="20"/>
        <v>202</v>
      </c>
      <c r="I227" s="256">
        <v>4250</v>
      </c>
      <c r="J227" s="256">
        <v>4250</v>
      </c>
      <c r="K227" s="256">
        <v>4250</v>
      </c>
      <c r="L227" s="95">
        <f>+SUM(L225:L226)</f>
        <v>1928092</v>
      </c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</row>
    <row r="228" spans="2:23" s="4" customFormat="1">
      <c r="B228" s="4">
        <v>210</v>
      </c>
      <c r="C228" s="44"/>
      <c r="D228" s="4" t="s">
        <v>257</v>
      </c>
      <c r="E228" s="94">
        <v>6000</v>
      </c>
      <c r="F228" s="94">
        <v>6000</v>
      </c>
      <c r="G228" s="232">
        <f t="shared" si="22"/>
        <v>0</v>
      </c>
      <c r="H228" s="94">
        <f t="shared" si="20"/>
        <v>0</v>
      </c>
      <c r="I228" s="256">
        <v>6000</v>
      </c>
      <c r="J228" s="256">
        <v>6000</v>
      </c>
      <c r="K228" s="256">
        <v>6000</v>
      </c>
      <c r="L228" s="95"/>
      <c r="M228" s="81"/>
      <c r="N228" s="81"/>
      <c r="O228" s="81"/>
      <c r="P228" s="81"/>
      <c r="Q228" s="81"/>
      <c r="R228" s="81"/>
      <c r="S228" s="81"/>
      <c r="T228" s="81"/>
      <c r="U228" s="81"/>
      <c r="V228" s="81"/>
      <c r="W228" s="81"/>
    </row>
    <row r="229" spans="2:23" s="4" customFormat="1">
      <c r="B229" s="4">
        <v>210</v>
      </c>
      <c r="C229" s="44"/>
      <c r="D229" s="4" t="s">
        <v>258</v>
      </c>
      <c r="E229" s="94">
        <v>40000</v>
      </c>
      <c r="F229" s="94">
        <v>37000</v>
      </c>
      <c r="G229" s="232">
        <f t="shared" si="22"/>
        <v>0</v>
      </c>
      <c r="H229" s="94">
        <f t="shared" si="20"/>
        <v>0</v>
      </c>
      <c r="I229" s="256">
        <v>37000</v>
      </c>
      <c r="J229" s="256">
        <v>37000</v>
      </c>
      <c r="K229" s="256">
        <v>37000</v>
      </c>
      <c r="L229" s="95"/>
      <c r="M229" s="81"/>
      <c r="N229" s="81"/>
      <c r="O229" s="81"/>
      <c r="P229" s="81"/>
      <c r="Q229" s="81"/>
      <c r="R229" s="81"/>
      <c r="S229" s="81"/>
      <c r="T229" s="81"/>
      <c r="U229" s="81"/>
      <c r="V229" s="81"/>
      <c r="W229" s="81"/>
    </row>
    <row r="230" spans="2:23" s="4" customFormat="1">
      <c r="B230" s="4">
        <v>210</v>
      </c>
      <c r="C230" s="44">
        <v>5105110</v>
      </c>
      <c r="D230" s="4" t="s">
        <v>259</v>
      </c>
      <c r="E230" s="80">
        <v>17000</v>
      </c>
      <c r="F230" s="80">
        <v>17000</v>
      </c>
      <c r="G230" s="232">
        <f t="shared" si="22"/>
        <v>8.8235294117647065E-2</v>
      </c>
      <c r="H230" s="80">
        <f t="shared" si="20"/>
        <v>1500</v>
      </c>
      <c r="I230" s="80">
        <v>18500</v>
      </c>
      <c r="J230" s="80">
        <v>18500</v>
      </c>
      <c r="K230" s="80">
        <v>18500</v>
      </c>
      <c r="L230" s="95"/>
      <c r="N230" s="81"/>
      <c r="O230" s="81"/>
      <c r="P230" s="81"/>
      <c r="Q230" s="81"/>
      <c r="R230" s="81"/>
      <c r="S230" s="81"/>
      <c r="T230" s="81"/>
      <c r="U230" s="81"/>
      <c r="V230" s="81"/>
      <c r="W230" s="81"/>
    </row>
    <row r="231" spans="2:23" s="4" customFormat="1">
      <c r="B231" s="4">
        <v>210</v>
      </c>
      <c r="C231" s="44">
        <v>5105110</v>
      </c>
      <c r="D231" s="81" t="s">
        <v>260</v>
      </c>
      <c r="E231" s="80"/>
      <c r="F231" s="80"/>
      <c r="G231" s="232"/>
      <c r="H231" s="80">
        <f t="shared" si="20"/>
        <v>3500</v>
      </c>
      <c r="I231" s="256">
        <v>3500</v>
      </c>
      <c r="J231" s="256">
        <v>3500</v>
      </c>
      <c r="K231" s="256">
        <v>3500</v>
      </c>
      <c r="L231" s="95"/>
      <c r="M231" s="81"/>
      <c r="N231" s="81"/>
      <c r="O231" s="81"/>
      <c r="P231" s="81"/>
      <c r="Q231" s="81"/>
      <c r="R231" s="81"/>
      <c r="S231" s="81"/>
      <c r="T231" s="81"/>
      <c r="U231" s="81"/>
      <c r="V231" s="81"/>
      <c r="W231" s="81"/>
    </row>
    <row r="232" spans="2:23" s="4" customFormat="1">
      <c r="B232" s="4">
        <v>210</v>
      </c>
      <c r="D232" s="81" t="s">
        <v>261</v>
      </c>
      <c r="I232" s="256">
        <v>52000</v>
      </c>
      <c r="J232" s="256">
        <v>52000</v>
      </c>
      <c r="K232" s="256">
        <v>52000</v>
      </c>
      <c r="L232" s="95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</row>
    <row r="233" spans="2:23" s="4" customFormat="1">
      <c r="B233" s="4">
        <v>210</v>
      </c>
      <c r="C233" s="44">
        <v>5705156</v>
      </c>
      <c r="D233" s="4" t="s">
        <v>262</v>
      </c>
      <c r="E233" s="80">
        <v>17000</v>
      </c>
      <c r="F233" s="80">
        <v>17000</v>
      </c>
      <c r="G233" s="232">
        <f>(I233-F233)/F233</f>
        <v>0.17647058823529413</v>
      </c>
      <c r="H233" s="80">
        <f t="shared" ref="H233:H242" si="23">I233-F233</f>
        <v>3000</v>
      </c>
      <c r="I233" s="80">
        <v>20000</v>
      </c>
      <c r="J233" s="80">
        <v>20000</v>
      </c>
      <c r="K233" s="80">
        <v>20000</v>
      </c>
      <c r="L233" s="95"/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</row>
    <row r="234" spans="2:23" s="4" customFormat="1">
      <c r="B234" s="4">
        <v>210</v>
      </c>
      <c r="C234" s="44">
        <v>5705156</v>
      </c>
      <c r="D234" s="4" t="s">
        <v>263</v>
      </c>
      <c r="E234" s="80">
        <v>2500</v>
      </c>
      <c r="F234" s="80">
        <v>2500</v>
      </c>
      <c r="G234" s="232">
        <f>(I234-F234)/F234</f>
        <v>0</v>
      </c>
      <c r="H234" s="80">
        <f t="shared" si="23"/>
        <v>0</v>
      </c>
      <c r="I234" s="80">
        <v>2500</v>
      </c>
      <c r="J234" s="80">
        <v>2500</v>
      </c>
      <c r="K234" s="80">
        <v>2500</v>
      </c>
      <c r="L234" s="95"/>
      <c r="M234" s="81"/>
      <c r="N234" s="81"/>
      <c r="O234" s="81"/>
      <c r="P234" s="81"/>
      <c r="Q234" s="81"/>
      <c r="R234" s="81"/>
      <c r="S234" s="81"/>
      <c r="T234" s="81"/>
      <c r="U234" s="81"/>
      <c r="V234" s="81"/>
      <c r="W234" s="81"/>
    </row>
    <row r="235" spans="2:23" s="4" customFormat="1">
      <c r="B235" s="4">
        <v>210</v>
      </c>
      <c r="C235" s="44">
        <v>5705700</v>
      </c>
      <c r="D235" s="4" t="s">
        <v>210</v>
      </c>
      <c r="E235" s="80"/>
      <c r="F235" s="80"/>
      <c r="G235" s="232"/>
      <c r="H235" s="80">
        <f t="shared" si="23"/>
        <v>0</v>
      </c>
      <c r="I235" s="80"/>
      <c r="J235" s="80"/>
      <c r="K235" s="80"/>
      <c r="L235" s="95"/>
      <c r="M235" s="81"/>
      <c r="N235" s="81"/>
      <c r="O235" s="81"/>
      <c r="P235" s="81"/>
      <c r="Q235" s="81"/>
      <c r="R235" s="81"/>
      <c r="S235" s="81"/>
      <c r="T235" s="81"/>
      <c r="U235" s="81"/>
      <c r="V235" s="81"/>
      <c r="W235" s="81"/>
    </row>
    <row r="236" spans="2:23" s="4" customFormat="1">
      <c r="B236" s="4">
        <v>210</v>
      </c>
      <c r="C236" s="44">
        <v>5705700</v>
      </c>
      <c r="D236" s="4" t="s">
        <v>264</v>
      </c>
      <c r="E236" s="94">
        <f>16000+1333</f>
        <v>17333</v>
      </c>
      <c r="F236" s="94">
        <v>17333</v>
      </c>
      <c r="G236" s="232">
        <f t="shared" ref="G236:G242" si="24">(I236-F236)/F236</f>
        <v>2.9942883516990711E-2</v>
      </c>
      <c r="H236" s="94">
        <f t="shared" si="23"/>
        <v>519</v>
      </c>
      <c r="I236" s="94">
        <v>17852</v>
      </c>
      <c r="J236" s="94">
        <v>17852</v>
      </c>
      <c r="K236" s="94">
        <v>17852</v>
      </c>
      <c r="L236" s="95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</row>
    <row r="237" spans="2:23" s="4" customFormat="1">
      <c r="B237" s="4">
        <v>210</v>
      </c>
      <c r="C237" s="44">
        <v>5705700</v>
      </c>
      <c r="D237" s="4" t="s">
        <v>265</v>
      </c>
      <c r="E237" s="80">
        <v>4160</v>
      </c>
      <c r="F237" s="80">
        <v>4160</v>
      </c>
      <c r="G237" s="232">
        <f t="shared" si="24"/>
        <v>2.9807692307692309E-2</v>
      </c>
      <c r="H237" s="80">
        <f t="shared" si="23"/>
        <v>124</v>
      </c>
      <c r="I237" s="80">
        <v>4284</v>
      </c>
      <c r="J237" s="80">
        <v>4284</v>
      </c>
      <c r="K237" s="80">
        <v>4284</v>
      </c>
      <c r="L237" s="95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</row>
    <row r="238" spans="2:23" s="4" customFormat="1">
      <c r="B238" s="4">
        <v>210</v>
      </c>
      <c r="C238" s="44">
        <v>5705700</v>
      </c>
      <c r="D238" s="4" t="s">
        <v>266</v>
      </c>
      <c r="E238" s="80">
        <v>4046</v>
      </c>
      <c r="F238" s="80">
        <v>4046</v>
      </c>
      <c r="G238" s="232">
        <f t="shared" si="24"/>
        <v>2.9906080079090461E-2</v>
      </c>
      <c r="H238" s="80">
        <f t="shared" si="23"/>
        <v>121</v>
      </c>
      <c r="I238" s="80">
        <v>4167</v>
      </c>
      <c r="J238" s="80">
        <v>4167</v>
      </c>
      <c r="K238" s="80">
        <v>4167</v>
      </c>
      <c r="L238" s="95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</row>
    <row r="239" spans="2:23" s="4" customFormat="1">
      <c r="B239" s="4">
        <v>210</v>
      </c>
      <c r="C239" s="44">
        <v>5705700</v>
      </c>
      <c r="D239" s="4" t="s">
        <v>267</v>
      </c>
      <c r="E239" s="80">
        <v>6270</v>
      </c>
      <c r="F239" s="80">
        <v>6270</v>
      </c>
      <c r="G239" s="232">
        <f t="shared" si="24"/>
        <v>2.9984051036682616E-2</v>
      </c>
      <c r="H239" s="80">
        <f t="shared" si="23"/>
        <v>188</v>
      </c>
      <c r="I239" s="256">
        <v>6458</v>
      </c>
      <c r="J239" s="256">
        <v>6458</v>
      </c>
      <c r="K239" s="256">
        <v>6458</v>
      </c>
      <c r="L239" s="95"/>
      <c r="M239" s="81"/>
      <c r="N239" s="81"/>
      <c r="O239" s="81"/>
      <c r="P239" s="81"/>
      <c r="Q239" s="81"/>
      <c r="R239" s="81"/>
      <c r="S239" s="81"/>
      <c r="T239" s="81"/>
      <c r="U239" s="81"/>
      <c r="V239" s="81"/>
      <c r="W239" s="81"/>
    </row>
    <row r="240" spans="2:23" s="4" customFormat="1">
      <c r="B240" s="4">
        <v>210</v>
      </c>
      <c r="C240" s="44">
        <v>5705156</v>
      </c>
      <c r="D240" s="4" t="s">
        <v>268</v>
      </c>
      <c r="E240" s="80">
        <v>2500</v>
      </c>
      <c r="F240" s="80">
        <v>2500</v>
      </c>
      <c r="G240" s="232">
        <f t="shared" si="24"/>
        <v>0.2</v>
      </c>
      <c r="H240" s="80">
        <f t="shared" si="23"/>
        <v>500</v>
      </c>
      <c r="I240" s="80">
        <v>3000</v>
      </c>
      <c r="J240" s="80">
        <v>3000</v>
      </c>
      <c r="K240" s="80">
        <v>3000</v>
      </c>
      <c r="L240" s="95"/>
      <c r="M240" s="81"/>
      <c r="N240" s="81"/>
      <c r="O240" s="81"/>
      <c r="P240" s="81"/>
      <c r="Q240" s="81"/>
      <c r="R240" s="81"/>
      <c r="S240" s="81"/>
      <c r="T240" s="81"/>
      <c r="U240" s="81"/>
      <c r="V240" s="81"/>
      <c r="W240" s="81"/>
    </row>
    <row r="241" spans="1:23" s="6" customFormat="1">
      <c r="A241" s="4"/>
      <c r="B241" s="4">
        <v>210</v>
      </c>
      <c r="C241" s="44">
        <v>5705156</v>
      </c>
      <c r="D241" s="4" t="s">
        <v>269</v>
      </c>
      <c r="E241" s="80">
        <v>3000</v>
      </c>
      <c r="F241" s="80">
        <v>3000</v>
      </c>
      <c r="G241" s="232">
        <f t="shared" si="24"/>
        <v>0.1</v>
      </c>
      <c r="H241" s="80">
        <f t="shared" si="23"/>
        <v>300</v>
      </c>
      <c r="I241" s="80">
        <v>3300</v>
      </c>
      <c r="J241" s="80">
        <v>3300</v>
      </c>
      <c r="K241" s="80">
        <v>3300</v>
      </c>
      <c r="L241" s="95"/>
      <c r="M241" s="81"/>
      <c r="N241" s="81"/>
      <c r="O241" s="81"/>
      <c r="P241" s="81"/>
      <c r="Q241" s="81"/>
      <c r="R241" s="81"/>
      <c r="S241" s="81"/>
      <c r="T241" s="81"/>
      <c r="U241" s="81"/>
      <c r="V241" s="81"/>
      <c r="W241" s="81"/>
    </row>
    <row r="242" spans="1:23" s="4" customFormat="1">
      <c r="B242" s="4">
        <v>210</v>
      </c>
      <c r="C242" s="44">
        <v>5705156</v>
      </c>
      <c r="D242" s="4" t="s">
        <v>270</v>
      </c>
      <c r="E242" s="80">
        <v>5831</v>
      </c>
      <c r="F242" s="80">
        <v>5831</v>
      </c>
      <c r="G242" s="232">
        <f t="shared" si="24"/>
        <v>0.19996570056594065</v>
      </c>
      <c r="H242" s="80">
        <f t="shared" si="23"/>
        <v>1166</v>
      </c>
      <c r="I242" s="80">
        <v>6997</v>
      </c>
      <c r="J242" s="80">
        <v>6997</v>
      </c>
      <c r="K242" s="80">
        <v>6997</v>
      </c>
      <c r="L242" s="95"/>
      <c r="M242" s="81"/>
      <c r="N242" s="81"/>
      <c r="O242" s="81"/>
      <c r="P242" s="81"/>
      <c r="Q242" s="81"/>
      <c r="R242" s="81"/>
      <c r="S242" s="81"/>
      <c r="T242" s="81"/>
      <c r="U242" s="81"/>
      <c r="V242" s="81"/>
      <c r="W242" s="81"/>
    </row>
    <row r="243" spans="1:23" s="4" customFormat="1">
      <c r="B243" s="4">
        <v>210</v>
      </c>
      <c r="C243" s="44">
        <v>5705156</v>
      </c>
      <c r="D243" s="4" t="s">
        <v>271</v>
      </c>
      <c r="E243" s="80"/>
      <c r="F243" s="80"/>
      <c r="G243" s="232"/>
      <c r="H243" s="80"/>
      <c r="I243" s="256">
        <v>4162</v>
      </c>
      <c r="J243" s="256">
        <v>4162</v>
      </c>
      <c r="K243" s="256">
        <v>4162</v>
      </c>
      <c r="L243" s="95"/>
      <c r="M243" s="81"/>
      <c r="N243" s="81"/>
      <c r="O243" s="81"/>
      <c r="P243" s="81"/>
      <c r="Q243" s="81"/>
      <c r="R243" s="81"/>
      <c r="S243" s="81"/>
      <c r="T243" s="81"/>
      <c r="U243" s="81"/>
      <c r="V243" s="81"/>
      <c r="W243" s="81"/>
    </row>
    <row r="244" spans="1:23" s="4" customFormat="1">
      <c r="B244" s="4">
        <v>210</v>
      </c>
      <c r="C244" s="44">
        <v>5705156</v>
      </c>
      <c r="D244" s="4" t="s">
        <v>272</v>
      </c>
      <c r="E244" s="80"/>
      <c r="F244" s="80"/>
      <c r="G244" s="232"/>
      <c r="H244" s="80"/>
      <c r="I244" s="256">
        <v>3588</v>
      </c>
      <c r="J244" s="256">
        <v>3588</v>
      </c>
      <c r="K244" s="256">
        <v>3588</v>
      </c>
      <c r="L244" s="95"/>
      <c r="M244" s="81"/>
      <c r="N244" s="81"/>
      <c r="O244" s="81"/>
      <c r="P244" s="81"/>
      <c r="Q244" s="81"/>
      <c r="R244" s="81"/>
      <c r="S244" s="81"/>
      <c r="T244" s="81"/>
      <c r="U244" s="81"/>
      <c r="V244" s="81"/>
      <c r="W244" s="81"/>
    </row>
    <row r="245" spans="1:23" s="6" customFormat="1">
      <c r="A245" s="4"/>
      <c r="B245" s="4">
        <v>210</v>
      </c>
      <c r="C245" s="44">
        <v>5705700</v>
      </c>
      <c r="D245" s="4" t="s">
        <v>273</v>
      </c>
      <c r="E245" s="80">
        <v>9104</v>
      </c>
      <c r="F245" s="80">
        <v>9104</v>
      </c>
      <c r="G245" s="232">
        <f t="shared" ref="G245:G252" si="25">(I245-F245)/F245</f>
        <v>2.9986818980667837E-2</v>
      </c>
      <c r="H245" s="80">
        <f t="shared" ref="H245:H265" si="26">I245-F245</f>
        <v>273</v>
      </c>
      <c r="I245" s="256">
        <v>9377</v>
      </c>
      <c r="J245" s="256">
        <v>9377</v>
      </c>
      <c r="K245" s="256">
        <v>9377</v>
      </c>
      <c r="L245" s="95"/>
      <c r="M245" s="81"/>
      <c r="N245" s="81"/>
      <c r="O245" s="81"/>
      <c r="P245" s="81"/>
      <c r="Q245" s="81"/>
      <c r="R245" s="81"/>
      <c r="S245" s="81"/>
      <c r="T245" s="81"/>
      <c r="U245" s="81"/>
      <c r="V245" s="81"/>
      <c r="W245" s="81"/>
    </row>
    <row r="246" spans="1:23" s="6" customFormat="1">
      <c r="A246" s="4"/>
      <c r="B246" s="4">
        <v>210</v>
      </c>
      <c r="C246" s="44">
        <v>5705700</v>
      </c>
      <c r="D246" s="4" t="s">
        <v>274</v>
      </c>
      <c r="E246" s="80">
        <v>4633</v>
      </c>
      <c r="F246" s="80">
        <v>4633</v>
      </c>
      <c r="G246" s="232">
        <f t="shared" si="25"/>
        <v>3.0002158428663932E-2</v>
      </c>
      <c r="H246" s="80">
        <f t="shared" si="26"/>
        <v>139</v>
      </c>
      <c r="I246" s="256">
        <v>4772</v>
      </c>
      <c r="J246" s="256">
        <v>4772</v>
      </c>
      <c r="K246" s="256">
        <v>4772</v>
      </c>
      <c r="L246" s="95"/>
      <c r="M246" s="81"/>
      <c r="N246" s="81"/>
      <c r="O246" s="81"/>
      <c r="P246" s="81"/>
      <c r="Q246" s="81"/>
      <c r="R246" s="81"/>
      <c r="S246" s="81"/>
      <c r="T246" s="81"/>
      <c r="U246" s="81"/>
      <c r="V246" s="81"/>
      <c r="W246" s="81"/>
    </row>
    <row r="247" spans="1:23" s="6" customFormat="1">
      <c r="A247" s="4"/>
      <c r="B247" s="4">
        <v>210</v>
      </c>
      <c r="C247" s="44"/>
      <c r="D247" s="4" t="s">
        <v>275</v>
      </c>
      <c r="E247" s="94">
        <v>5750</v>
      </c>
      <c r="F247" s="94">
        <v>5750</v>
      </c>
      <c r="G247" s="232">
        <f t="shared" si="25"/>
        <v>2.9913043478260869E-2</v>
      </c>
      <c r="H247" s="94">
        <f t="shared" si="26"/>
        <v>172</v>
      </c>
      <c r="I247" s="256">
        <v>5922</v>
      </c>
      <c r="J247" s="256">
        <v>5922</v>
      </c>
      <c r="K247" s="256">
        <v>5922</v>
      </c>
      <c r="L247" s="95"/>
      <c r="M247" s="81"/>
      <c r="N247" s="81"/>
      <c r="O247" s="81"/>
      <c r="P247" s="81"/>
      <c r="Q247" s="81"/>
      <c r="R247" s="81"/>
      <c r="S247" s="81"/>
      <c r="T247" s="81"/>
      <c r="U247" s="81"/>
      <c r="V247" s="81"/>
      <c r="W247" s="81"/>
    </row>
    <row r="248" spans="1:23" s="4" customFormat="1">
      <c r="B248" s="4">
        <v>210</v>
      </c>
      <c r="C248" s="44"/>
      <c r="D248" s="4" t="s">
        <v>276</v>
      </c>
      <c r="E248" s="94">
        <v>2340</v>
      </c>
      <c r="F248" s="94">
        <v>2340</v>
      </c>
      <c r="G248" s="232">
        <f t="shared" si="25"/>
        <v>2.9914529914529916E-2</v>
      </c>
      <c r="H248" s="94">
        <f t="shared" si="26"/>
        <v>70</v>
      </c>
      <c r="I248" s="256">
        <v>2410</v>
      </c>
      <c r="J248" s="256">
        <v>2410</v>
      </c>
      <c r="K248" s="256">
        <v>2410</v>
      </c>
      <c r="L248" s="95"/>
      <c r="M248" s="81"/>
      <c r="N248" s="81"/>
      <c r="O248" s="81"/>
      <c r="P248" s="81"/>
      <c r="Q248" s="81"/>
      <c r="R248" s="81"/>
      <c r="S248" s="81"/>
      <c r="T248" s="81"/>
      <c r="U248" s="81"/>
      <c r="V248" s="81"/>
      <c r="W248" s="81"/>
    </row>
    <row r="249" spans="1:23" s="4" customFormat="1">
      <c r="B249" s="4">
        <v>210</v>
      </c>
      <c r="C249" s="44">
        <v>5705700</v>
      </c>
      <c r="D249" s="4" t="s">
        <v>277</v>
      </c>
      <c r="E249" s="80">
        <v>5200</v>
      </c>
      <c r="F249" s="80">
        <v>5200</v>
      </c>
      <c r="G249" s="232">
        <f t="shared" si="25"/>
        <v>0.03</v>
      </c>
      <c r="H249" s="80">
        <f t="shared" si="26"/>
        <v>156</v>
      </c>
      <c r="I249" s="256">
        <v>5356</v>
      </c>
      <c r="J249" s="256">
        <v>5356</v>
      </c>
      <c r="K249" s="256">
        <v>5356</v>
      </c>
      <c r="L249" s="95"/>
      <c r="M249" s="81"/>
      <c r="N249" s="81"/>
      <c r="O249" s="81"/>
      <c r="P249" s="81"/>
      <c r="Q249" s="81"/>
      <c r="R249" s="81"/>
      <c r="S249" s="81"/>
      <c r="T249" s="81"/>
      <c r="U249" s="81"/>
      <c r="V249" s="81"/>
      <c r="W249" s="81"/>
    </row>
    <row r="250" spans="1:23" s="4" customFormat="1">
      <c r="B250" s="4">
        <v>210</v>
      </c>
      <c r="C250" s="44">
        <v>5705700</v>
      </c>
      <c r="D250" s="4" t="s">
        <v>278</v>
      </c>
      <c r="E250" s="80">
        <v>5000</v>
      </c>
      <c r="F250" s="80">
        <v>5000</v>
      </c>
      <c r="G250" s="232">
        <f t="shared" si="25"/>
        <v>0.03</v>
      </c>
      <c r="H250" s="80">
        <f t="shared" si="26"/>
        <v>150</v>
      </c>
      <c r="I250" s="256">
        <v>5150</v>
      </c>
      <c r="J250" s="256">
        <v>5150</v>
      </c>
      <c r="K250" s="256">
        <v>5150</v>
      </c>
      <c r="L250" s="95"/>
      <c r="M250" s="81"/>
      <c r="N250" s="81"/>
      <c r="O250" s="81"/>
      <c r="P250" s="81"/>
      <c r="Q250" s="81"/>
      <c r="R250" s="81"/>
      <c r="S250" s="81"/>
      <c r="T250" s="81"/>
      <c r="U250" s="81"/>
      <c r="V250" s="81"/>
      <c r="W250" s="81"/>
    </row>
    <row r="251" spans="1:23" s="4" customFormat="1">
      <c r="B251" s="4">
        <v>210</v>
      </c>
      <c r="C251" s="44">
        <v>5705700</v>
      </c>
      <c r="D251" s="4" t="s">
        <v>279</v>
      </c>
      <c r="E251" s="80">
        <v>5445</v>
      </c>
      <c r="F251" s="80">
        <v>5445</v>
      </c>
      <c r="G251" s="232">
        <f t="shared" si="25"/>
        <v>2.9935720844811754E-2</v>
      </c>
      <c r="H251" s="80">
        <f t="shared" si="26"/>
        <v>163</v>
      </c>
      <c r="I251" s="256">
        <v>5608</v>
      </c>
      <c r="J251" s="256">
        <v>5608</v>
      </c>
      <c r="K251" s="256">
        <v>5608</v>
      </c>
      <c r="L251" s="95"/>
      <c r="M251" s="81"/>
      <c r="N251" s="81"/>
      <c r="O251" s="81"/>
      <c r="P251" s="81"/>
      <c r="Q251" s="81"/>
      <c r="R251" s="81"/>
      <c r="S251" s="81"/>
      <c r="T251" s="81"/>
      <c r="U251" s="81"/>
      <c r="V251" s="81"/>
      <c r="W251" s="81"/>
    </row>
    <row r="252" spans="1:23" s="4" customFormat="1">
      <c r="B252" s="4">
        <v>210</v>
      </c>
      <c r="C252" s="44">
        <v>5705700</v>
      </c>
      <c r="D252" s="4" t="s">
        <v>118</v>
      </c>
      <c r="E252" s="80">
        <v>3640</v>
      </c>
      <c r="F252" s="80">
        <v>3640</v>
      </c>
      <c r="G252" s="232">
        <f t="shared" si="25"/>
        <v>2.9945054945054946E-2</v>
      </c>
      <c r="H252" s="80">
        <f t="shared" si="26"/>
        <v>109</v>
      </c>
      <c r="I252" s="256">
        <v>3749</v>
      </c>
      <c r="J252" s="256">
        <v>3749</v>
      </c>
      <c r="K252" s="256">
        <v>3749</v>
      </c>
      <c r="L252" s="95"/>
      <c r="M252" s="81"/>
      <c r="N252" s="81"/>
      <c r="O252" s="81"/>
      <c r="P252" s="81"/>
      <c r="Q252" s="81"/>
      <c r="R252" s="81"/>
      <c r="S252" s="81"/>
      <c r="T252" s="81"/>
      <c r="U252" s="81"/>
      <c r="V252" s="81"/>
      <c r="W252" s="81"/>
    </row>
    <row r="253" spans="1:23" s="4" customFormat="1">
      <c r="B253" s="4">
        <v>210</v>
      </c>
      <c r="C253" s="44">
        <v>5705700</v>
      </c>
      <c r="D253" s="4" t="s">
        <v>280</v>
      </c>
      <c r="E253" s="80"/>
      <c r="F253" s="80"/>
      <c r="G253" s="232"/>
      <c r="H253" s="80">
        <f t="shared" si="26"/>
        <v>0</v>
      </c>
      <c r="I253" s="256"/>
      <c r="J253" s="256"/>
      <c r="K253" s="256"/>
      <c r="L253" s="95"/>
      <c r="M253" s="81"/>
      <c r="N253" s="81"/>
      <c r="O253" s="81"/>
      <c r="P253" s="81"/>
      <c r="Q253" s="81"/>
      <c r="R253" s="81"/>
      <c r="S253" s="81"/>
      <c r="T253" s="81"/>
      <c r="U253" s="81"/>
      <c r="V253" s="81"/>
      <c r="W253" s="81"/>
    </row>
    <row r="254" spans="1:23" s="4" customFormat="1">
      <c r="B254" s="4">
        <v>210</v>
      </c>
      <c r="C254" s="44">
        <v>5705700</v>
      </c>
      <c r="D254" s="4" t="s">
        <v>281</v>
      </c>
      <c r="E254" s="80">
        <v>4000</v>
      </c>
      <c r="F254" s="80">
        <v>4000</v>
      </c>
      <c r="G254" s="232">
        <f t="shared" ref="G254:G261" si="27">(I254-F254)/F254</f>
        <v>0.1</v>
      </c>
      <c r="H254" s="80">
        <f t="shared" si="26"/>
        <v>400</v>
      </c>
      <c r="I254" s="256">
        <v>4400</v>
      </c>
      <c r="J254" s="256">
        <v>4400</v>
      </c>
      <c r="K254" s="256">
        <v>4400</v>
      </c>
      <c r="L254" s="95"/>
      <c r="M254" s="81"/>
      <c r="N254" s="81"/>
      <c r="O254" s="81"/>
      <c r="P254" s="81"/>
      <c r="Q254" s="81"/>
      <c r="R254" s="81"/>
      <c r="S254" s="81"/>
      <c r="T254" s="81"/>
      <c r="U254" s="81"/>
      <c r="V254" s="81"/>
      <c r="W254" s="81"/>
    </row>
    <row r="255" spans="1:23" s="4" customFormat="1">
      <c r="B255" s="4">
        <v>210</v>
      </c>
      <c r="C255" s="44">
        <v>5705700</v>
      </c>
      <c r="D255" s="4" t="s">
        <v>282</v>
      </c>
      <c r="E255" s="80">
        <v>3000</v>
      </c>
      <c r="F255" s="80">
        <v>3000</v>
      </c>
      <c r="G255" s="232">
        <f t="shared" si="27"/>
        <v>0.2</v>
      </c>
      <c r="H255" s="80">
        <f t="shared" si="26"/>
        <v>600</v>
      </c>
      <c r="I255" s="256">
        <v>3600</v>
      </c>
      <c r="J255" s="256">
        <v>3600</v>
      </c>
      <c r="K255" s="256">
        <v>3600</v>
      </c>
      <c r="L255" s="95"/>
      <c r="M255" s="81"/>
      <c r="N255" s="81"/>
      <c r="O255" s="81"/>
      <c r="P255" s="81"/>
      <c r="Q255" s="81"/>
      <c r="R255" s="81"/>
      <c r="S255" s="81"/>
      <c r="T255" s="81"/>
      <c r="U255" s="81"/>
      <c r="V255" s="81"/>
      <c r="W255" s="81"/>
    </row>
    <row r="256" spans="1:23" s="4" customFormat="1">
      <c r="B256" s="4">
        <v>210</v>
      </c>
      <c r="C256" s="44">
        <v>5705700</v>
      </c>
      <c r="D256" s="4" t="s">
        <v>120</v>
      </c>
      <c r="E256" s="80">
        <v>3575</v>
      </c>
      <c r="F256" s="80">
        <v>3575</v>
      </c>
      <c r="G256" s="232">
        <f t="shared" si="27"/>
        <v>2.8531468531468533E-2</v>
      </c>
      <c r="H256" s="80">
        <f t="shared" si="26"/>
        <v>102</v>
      </c>
      <c r="I256" s="256">
        <v>3677</v>
      </c>
      <c r="J256" s="256">
        <v>3677</v>
      </c>
      <c r="K256" s="256">
        <v>3677</v>
      </c>
      <c r="L256" s="95"/>
      <c r="M256" s="81"/>
      <c r="N256" s="81"/>
      <c r="O256" s="81"/>
      <c r="P256" s="81"/>
      <c r="Q256" s="81"/>
      <c r="R256" s="81"/>
      <c r="S256" s="81"/>
      <c r="T256" s="81"/>
      <c r="U256" s="81"/>
      <c r="V256" s="81"/>
      <c r="W256" s="81"/>
    </row>
    <row r="257" spans="1:23" s="4" customFormat="1">
      <c r="B257" s="4">
        <v>210</v>
      </c>
      <c r="C257" s="44">
        <v>5705700</v>
      </c>
      <c r="D257" s="4" t="s">
        <v>283</v>
      </c>
      <c r="E257" s="80">
        <v>2500</v>
      </c>
      <c r="F257" s="80">
        <v>2500</v>
      </c>
      <c r="G257" s="232">
        <f t="shared" si="27"/>
        <v>0.2</v>
      </c>
      <c r="H257" s="80">
        <f t="shared" si="26"/>
        <v>500</v>
      </c>
      <c r="I257" s="256">
        <v>3000</v>
      </c>
      <c r="J257" s="256">
        <v>3000</v>
      </c>
      <c r="K257" s="256">
        <v>3000</v>
      </c>
      <c r="L257" s="95"/>
      <c r="M257" s="81"/>
      <c r="N257" s="81"/>
      <c r="O257" s="81"/>
      <c r="P257" s="81"/>
      <c r="Q257" s="81"/>
      <c r="R257" s="81"/>
      <c r="S257" s="81"/>
      <c r="T257" s="81"/>
      <c r="U257" s="81"/>
      <c r="V257" s="81"/>
      <c r="W257" s="81"/>
    </row>
    <row r="258" spans="1:23" s="4" customFormat="1">
      <c r="B258" s="4">
        <v>210</v>
      </c>
      <c r="C258" s="44">
        <v>5705700</v>
      </c>
      <c r="D258" s="4" t="s">
        <v>284</v>
      </c>
      <c r="E258" s="80">
        <v>4000</v>
      </c>
      <c r="F258" s="80">
        <v>4000</v>
      </c>
      <c r="G258" s="232">
        <f t="shared" si="27"/>
        <v>0.03</v>
      </c>
      <c r="H258" s="80">
        <f t="shared" si="26"/>
        <v>120</v>
      </c>
      <c r="I258" s="256">
        <v>4120</v>
      </c>
      <c r="J258" s="256">
        <v>4120</v>
      </c>
      <c r="K258" s="256">
        <v>4120</v>
      </c>
      <c r="L258" s="95"/>
      <c r="M258" s="81"/>
      <c r="N258" s="81"/>
      <c r="O258" s="81"/>
      <c r="P258" s="81"/>
      <c r="Q258" s="81"/>
      <c r="R258" s="81"/>
      <c r="S258" s="81"/>
      <c r="T258" s="81"/>
      <c r="U258" s="81"/>
      <c r="V258" s="81"/>
      <c r="W258" s="81"/>
    </row>
    <row r="259" spans="1:23" s="4" customFormat="1">
      <c r="B259" s="4">
        <v>210</v>
      </c>
      <c r="C259" s="44">
        <v>5705700</v>
      </c>
      <c r="D259" s="4" t="s">
        <v>285</v>
      </c>
      <c r="E259" s="80">
        <v>3980</v>
      </c>
      <c r="F259" s="80">
        <v>3980</v>
      </c>
      <c r="G259" s="232">
        <f t="shared" si="27"/>
        <v>0.25</v>
      </c>
      <c r="H259" s="80">
        <f t="shared" si="26"/>
        <v>995</v>
      </c>
      <c r="I259" s="256">
        <v>4975</v>
      </c>
      <c r="J259" s="256">
        <v>4975</v>
      </c>
      <c r="K259" s="256">
        <v>4975</v>
      </c>
      <c r="L259" s="95"/>
      <c r="M259" s="81"/>
      <c r="N259" s="81"/>
      <c r="O259" s="81"/>
      <c r="P259" s="81"/>
      <c r="Q259" s="81"/>
      <c r="R259" s="81"/>
      <c r="S259" s="81"/>
      <c r="T259" s="81"/>
      <c r="U259" s="81"/>
      <c r="V259" s="81"/>
      <c r="W259" s="81"/>
    </row>
    <row r="260" spans="1:23" s="4" customFormat="1">
      <c r="B260" s="4">
        <v>210</v>
      </c>
      <c r="C260" s="44">
        <v>5705700</v>
      </c>
      <c r="D260" s="4" t="s">
        <v>286</v>
      </c>
      <c r="E260" s="80"/>
      <c r="F260" s="80">
        <v>3703</v>
      </c>
      <c r="G260" s="232">
        <f t="shared" si="27"/>
        <v>2.9975695382122605E-2</v>
      </c>
      <c r="H260" s="80">
        <f t="shared" si="26"/>
        <v>111</v>
      </c>
      <c r="I260" s="256">
        <v>3814</v>
      </c>
      <c r="J260" s="256">
        <v>3814</v>
      </c>
      <c r="K260" s="256">
        <v>3814</v>
      </c>
      <c r="L260" s="95"/>
      <c r="M260" s="81"/>
      <c r="N260" s="81"/>
      <c r="O260" s="81"/>
      <c r="P260" s="81"/>
      <c r="Q260" s="81"/>
      <c r="R260" s="81"/>
      <c r="S260" s="81"/>
      <c r="T260" s="81"/>
      <c r="U260" s="81"/>
      <c r="V260" s="81"/>
      <c r="W260" s="81"/>
    </row>
    <row r="261" spans="1:23" s="4" customFormat="1">
      <c r="B261" s="4">
        <v>210</v>
      </c>
      <c r="C261" s="44">
        <v>5705700</v>
      </c>
      <c r="D261" s="4" t="s">
        <v>287</v>
      </c>
      <c r="E261" s="80">
        <v>1120</v>
      </c>
      <c r="F261" s="80">
        <v>1120</v>
      </c>
      <c r="G261" s="232">
        <f t="shared" si="27"/>
        <v>2.9464285714285714E-2</v>
      </c>
      <c r="H261" s="80">
        <f t="shared" si="26"/>
        <v>33</v>
      </c>
      <c r="I261" s="256">
        <v>1153</v>
      </c>
      <c r="J261" s="256">
        <v>1153</v>
      </c>
      <c r="K261" s="256">
        <v>1153</v>
      </c>
      <c r="L261" s="95"/>
      <c r="M261" s="81"/>
      <c r="N261" s="81"/>
      <c r="O261" s="81"/>
      <c r="P261" s="81"/>
      <c r="Q261" s="81"/>
      <c r="R261" s="81"/>
      <c r="S261" s="81"/>
      <c r="T261" s="81"/>
      <c r="U261" s="81"/>
      <c r="V261" s="81"/>
      <c r="W261" s="81"/>
    </row>
    <row r="262" spans="1:23" s="73" customFormat="1">
      <c r="A262" s="4"/>
      <c r="B262" s="4">
        <v>210</v>
      </c>
      <c r="C262" s="44">
        <v>5705700</v>
      </c>
      <c r="D262" s="4" t="s">
        <v>288</v>
      </c>
      <c r="E262" s="80">
        <v>5000</v>
      </c>
      <c r="F262" s="80">
        <v>0</v>
      </c>
      <c r="G262" s="232"/>
      <c r="H262" s="80">
        <f t="shared" si="26"/>
        <v>0</v>
      </c>
      <c r="I262" s="256"/>
      <c r="J262" s="256"/>
      <c r="K262" s="256"/>
      <c r="L262" s="95"/>
      <c r="M262" s="127"/>
      <c r="N262" s="127"/>
      <c r="O262" s="127"/>
      <c r="P262" s="127"/>
      <c r="Q262" s="127"/>
      <c r="R262" s="127"/>
      <c r="S262" s="127"/>
      <c r="T262" s="127"/>
      <c r="U262" s="127"/>
      <c r="V262" s="127"/>
      <c r="W262" s="127"/>
    </row>
    <row r="263" spans="1:23" s="4" customFormat="1">
      <c r="A263" s="73"/>
      <c r="B263" s="73">
        <v>210</v>
      </c>
      <c r="C263" s="74">
        <v>5705700</v>
      </c>
      <c r="D263" s="79" t="s">
        <v>289</v>
      </c>
      <c r="E263" s="80">
        <v>2145</v>
      </c>
      <c r="F263" s="80">
        <v>2145</v>
      </c>
      <c r="G263" s="232">
        <f>(I263-F263)/F263</f>
        <v>0</v>
      </c>
      <c r="H263" s="80">
        <f t="shared" si="26"/>
        <v>0</v>
      </c>
      <c r="I263" s="257">
        <v>2145</v>
      </c>
      <c r="J263" s="257">
        <v>2145</v>
      </c>
      <c r="K263" s="257">
        <v>2145</v>
      </c>
      <c r="L263" s="95"/>
      <c r="M263" s="81"/>
      <c r="N263" s="81"/>
      <c r="O263" s="81"/>
      <c r="P263" s="81"/>
      <c r="Q263" s="81"/>
      <c r="R263" s="81"/>
      <c r="S263" s="81"/>
      <c r="T263" s="81"/>
      <c r="U263" s="81"/>
      <c r="V263" s="81"/>
      <c r="W263" s="81"/>
    </row>
    <row r="264" spans="1:23" s="4" customFormat="1">
      <c r="B264" s="4">
        <v>210</v>
      </c>
      <c r="C264" s="44">
        <v>5705850</v>
      </c>
      <c r="D264" s="4" t="s">
        <v>290</v>
      </c>
      <c r="E264" s="94">
        <v>0</v>
      </c>
      <c r="F264" s="94">
        <v>0</v>
      </c>
      <c r="G264" s="232"/>
      <c r="H264" s="94">
        <f t="shared" si="26"/>
        <v>0</v>
      </c>
      <c r="I264" s="94">
        <v>0</v>
      </c>
      <c r="J264" s="94">
        <v>0</v>
      </c>
      <c r="K264" s="94">
        <v>0</v>
      </c>
      <c r="L264" s="95"/>
      <c r="M264" s="123"/>
      <c r="N264" s="81"/>
      <c r="O264" s="81"/>
      <c r="P264" s="81"/>
      <c r="Q264" s="81"/>
      <c r="R264" s="81"/>
      <c r="S264" s="81"/>
      <c r="T264" s="81"/>
      <c r="U264" s="81"/>
      <c r="V264" s="81"/>
      <c r="W264" s="81"/>
    </row>
    <row r="265" spans="1:23" s="4" customFormat="1">
      <c r="A265" s="4" t="s">
        <v>228</v>
      </c>
      <c r="B265" s="6" t="s">
        <v>104</v>
      </c>
      <c r="C265" s="43" t="s">
        <v>291</v>
      </c>
      <c r="D265" s="6"/>
      <c r="E265" s="225">
        <f>SUM(E220:E264)</f>
        <v>1554474</v>
      </c>
      <c r="F265" s="225">
        <f>SUM(F220:F264)</f>
        <v>1607267</v>
      </c>
      <c r="G265" s="233">
        <f>(I265-F265)/F265</f>
        <v>0.19960902575614381</v>
      </c>
      <c r="H265" s="225">
        <f t="shared" si="26"/>
        <v>320825</v>
      </c>
      <c r="I265" s="225">
        <f>SUM(I220:I264)</f>
        <v>1928092</v>
      </c>
      <c r="J265" s="225">
        <f>SUM(J220:J264)</f>
        <v>1928092</v>
      </c>
      <c r="K265" s="225">
        <f>SUM(K220:K264)</f>
        <v>1928092</v>
      </c>
      <c r="L265" s="123">
        <f>I265+I351</f>
        <v>2292059</v>
      </c>
      <c r="M265" s="81"/>
      <c r="N265" s="81"/>
      <c r="O265" s="81"/>
      <c r="P265" s="81"/>
      <c r="Q265" s="81"/>
      <c r="R265" s="81"/>
      <c r="S265" s="81"/>
      <c r="T265" s="81"/>
      <c r="U265" s="81"/>
      <c r="V265" s="81"/>
      <c r="W265" s="81"/>
    </row>
    <row r="266" spans="1:23" s="4" customFormat="1">
      <c r="C266" s="44"/>
      <c r="L266" s="81"/>
      <c r="M266" s="81"/>
      <c r="N266" s="81"/>
      <c r="O266" s="81"/>
      <c r="P266" s="81"/>
      <c r="Q266" s="81"/>
      <c r="R266" s="81"/>
      <c r="S266" s="81"/>
      <c r="T266" s="81"/>
      <c r="U266" s="81"/>
      <c r="V266" s="81"/>
      <c r="W266" s="81"/>
    </row>
    <row r="267" spans="1:23" s="4" customFormat="1">
      <c r="B267" s="6">
        <v>220</v>
      </c>
      <c r="C267" s="43" t="s">
        <v>292</v>
      </c>
      <c r="D267" s="6"/>
      <c r="E267" s="225"/>
      <c r="F267" s="225"/>
      <c r="G267" s="225"/>
      <c r="H267" s="225">
        <f>I267-F267</f>
        <v>0</v>
      </c>
      <c r="I267" s="225"/>
      <c r="J267" s="225"/>
      <c r="K267" s="225"/>
      <c r="L267" s="94"/>
      <c r="M267" s="81"/>
      <c r="N267" s="81"/>
      <c r="O267" s="81"/>
      <c r="P267" s="81"/>
      <c r="Q267" s="81"/>
      <c r="R267" s="81"/>
      <c r="S267" s="81"/>
      <c r="T267" s="81"/>
      <c r="U267" s="81"/>
      <c r="V267" s="81"/>
      <c r="W267" s="81"/>
    </row>
    <row r="268" spans="1:23" s="6" customFormat="1">
      <c r="A268" s="4"/>
      <c r="B268" s="4">
        <v>220</v>
      </c>
      <c r="C268" s="44">
        <v>5105112</v>
      </c>
      <c r="D268" s="4" t="s">
        <v>293</v>
      </c>
      <c r="E268" s="94">
        <v>120000</v>
      </c>
      <c r="F268" s="94">
        <v>125000</v>
      </c>
      <c r="G268" s="234">
        <f t="shared" ref="G268:G275" si="28">(I268-F268)/E268</f>
        <v>0.05</v>
      </c>
      <c r="H268" s="94">
        <f>I268-F268</f>
        <v>6000</v>
      </c>
      <c r="I268" s="94">
        <v>131000</v>
      </c>
      <c r="J268" s="94">
        <v>131000</v>
      </c>
      <c r="K268" s="94">
        <v>131000</v>
      </c>
      <c r="L268" s="94"/>
      <c r="M268" s="81"/>
      <c r="N268" s="81"/>
      <c r="O268" s="81"/>
      <c r="P268" s="81"/>
      <c r="Q268" s="81"/>
      <c r="R268" s="81"/>
      <c r="S268" s="81"/>
      <c r="T268" s="81"/>
      <c r="U268" s="81"/>
      <c r="V268" s="81"/>
      <c r="W268" s="81"/>
    </row>
    <row r="269" spans="1:23" s="4" customFormat="1">
      <c r="B269" s="4">
        <v>220</v>
      </c>
      <c r="C269" s="44"/>
      <c r="D269" s="4" t="s">
        <v>250</v>
      </c>
      <c r="E269" s="94"/>
      <c r="F269" s="94"/>
      <c r="G269" s="234"/>
      <c r="H269" s="94">
        <f>I269-F269</f>
        <v>0</v>
      </c>
      <c r="I269" s="94"/>
      <c r="J269" s="94"/>
      <c r="K269" s="94"/>
      <c r="L269" s="94"/>
      <c r="M269" s="81"/>
      <c r="N269" s="81"/>
      <c r="O269" s="81"/>
      <c r="P269" s="81"/>
      <c r="Q269" s="81"/>
      <c r="R269" s="81"/>
      <c r="S269" s="81"/>
      <c r="T269" s="81"/>
      <c r="U269" s="81"/>
      <c r="V269" s="81"/>
      <c r="W269" s="81"/>
    </row>
    <row r="270" spans="1:23" s="6" customFormat="1">
      <c r="A270" s="4"/>
      <c r="B270" s="4">
        <v>220</v>
      </c>
      <c r="C270" s="44">
        <v>5105120</v>
      </c>
      <c r="D270" s="4" t="s">
        <v>294</v>
      </c>
      <c r="E270" s="94">
        <v>58000</v>
      </c>
      <c r="F270" s="94">
        <v>57000</v>
      </c>
      <c r="G270" s="234">
        <f t="shared" si="28"/>
        <v>0.13793103448275862</v>
      </c>
      <c r="H270" s="94">
        <f t="shared" ref="H270:H333" si="29">I270-F270</f>
        <v>8000</v>
      </c>
      <c r="I270" s="94">
        <v>65000</v>
      </c>
      <c r="J270" s="94">
        <v>65000</v>
      </c>
      <c r="K270" s="94">
        <v>65000</v>
      </c>
      <c r="L270" s="94"/>
      <c r="M270" s="81"/>
      <c r="N270" s="81"/>
      <c r="O270" s="81"/>
      <c r="P270" s="81"/>
      <c r="Q270" s="81"/>
      <c r="R270" s="81"/>
      <c r="S270" s="81"/>
      <c r="T270" s="81"/>
      <c r="U270" s="81"/>
      <c r="V270" s="81"/>
      <c r="W270" s="81"/>
    </row>
    <row r="271" spans="1:23" s="4" customFormat="1">
      <c r="B271" s="4">
        <v>220</v>
      </c>
      <c r="C271" s="44">
        <v>5105150</v>
      </c>
      <c r="D271" s="4" t="s">
        <v>295</v>
      </c>
      <c r="E271" s="80">
        <v>5077</v>
      </c>
      <c r="F271" s="80">
        <v>5770</v>
      </c>
      <c r="G271" s="232">
        <f t="shared" si="28"/>
        <v>4.5302343903880243E-2</v>
      </c>
      <c r="H271" s="80">
        <f t="shared" si="29"/>
        <v>230</v>
      </c>
      <c r="I271" s="80">
        <v>6000</v>
      </c>
      <c r="J271" s="80">
        <v>6000</v>
      </c>
      <c r="K271" s="80">
        <v>6000</v>
      </c>
      <c r="L271" s="94"/>
      <c r="M271" s="81"/>
      <c r="N271" s="81"/>
      <c r="O271" s="81"/>
      <c r="P271" s="81"/>
      <c r="Q271" s="81"/>
      <c r="R271" s="81"/>
      <c r="S271" s="81"/>
      <c r="T271" s="81"/>
      <c r="U271" s="81"/>
      <c r="V271" s="81"/>
      <c r="W271" s="81"/>
    </row>
    <row r="272" spans="1:23" s="4" customFormat="1">
      <c r="B272" s="4">
        <v>220</v>
      </c>
      <c r="C272" s="44">
        <v>5105156</v>
      </c>
      <c r="D272" s="4" t="s">
        <v>262</v>
      </c>
      <c r="E272" s="80">
        <v>3500</v>
      </c>
      <c r="F272" s="80">
        <v>3500</v>
      </c>
      <c r="G272" s="232">
        <f t="shared" si="28"/>
        <v>0</v>
      </c>
      <c r="H272" s="80">
        <f t="shared" si="29"/>
        <v>0</v>
      </c>
      <c r="I272" s="80">
        <v>3500</v>
      </c>
      <c r="J272" s="80">
        <v>3500</v>
      </c>
      <c r="K272" s="80">
        <v>3500</v>
      </c>
      <c r="L272" s="94"/>
      <c r="M272" s="81"/>
      <c r="N272" s="81"/>
      <c r="O272" s="81"/>
      <c r="P272" s="81"/>
      <c r="Q272" s="81"/>
      <c r="R272" s="81"/>
      <c r="S272" s="81"/>
      <c r="T272" s="81"/>
      <c r="U272" s="81"/>
      <c r="V272" s="81"/>
      <c r="W272" s="81"/>
    </row>
    <row r="273" spans="1:23" s="4" customFormat="1">
      <c r="B273" s="4">
        <v>220</v>
      </c>
      <c r="C273" s="44">
        <v>5705244</v>
      </c>
      <c r="D273" s="4" t="s">
        <v>210</v>
      </c>
      <c r="E273" s="80">
        <v>10000</v>
      </c>
      <c r="F273" s="80">
        <v>10000</v>
      </c>
      <c r="G273" s="232">
        <f t="shared" si="28"/>
        <v>0.5</v>
      </c>
      <c r="H273" s="80">
        <f t="shared" si="29"/>
        <v>5000</v>
      </c>
      <c r="I273" s="80">
        <v>15000</v>
      </c>
      <c r="J273" s="80">
        <v>15000</v>
      </c>
      <c r="K273" s="80">
        <v>15000</v>
      </c>
      <c r="L273" s="94"/>
      <c r="M273" s="81"/>
      <c r="N273" s="81"/>
      <c r="O273" s="81"/>
      <c r="P273" s="81"/>
      <c r="Q273" s="81"/>
      <c r="R273" s="81"/>
      <c r="S273" s="81"/>
      <c r="T273" s="81"/>
      <c r="U273" s="81"/>
      <c r="V273" s="81"/>
      <c r="W273" s="81"/>
    </row>
    <row r="274" spans="1:23" s="4" customFormat="1">
      <c r="B274" s="4">
        <v>220</v>
      </c>
      <c r="C274" s="44">
        <v>5705243</v>
      </c>
      <c r="D274" s="4" t="s">
        <v>296</v>
      </c>
      <c r="E274" s="80"/>
      <c r="F274" s="80"/>
      <c r="G274" s="232"/>
      <c r="H274" s="80">
        <f t="shared" si="29"/>
        <v>0</v>
      </c>
      <c r="I274" s="80"/>
      <c r="J274" s="80"/>
      <c r="K274" s="80"/>
      <c r="L274" s="94"/>
      <c r="M274" s="81"/>
      <c r="N274" s="81"/>
      <c r="O274" s="81"/>
      <c r="P274" s="81"/>
      <c r="Q274" s="81"/>
      <c r="R274" s="81"/>
      <c r="S274" s="81"/>
      <c r="T274" s="81"/>
      <c r="U274" s="81"/>
      <c r="V274" s="81"/>
      <c r="W274" s="81"/>
    </row>
    <row r="275" spans="1:23" s="4" customFormat="1">
      <c r="B275" s="4">
        <v>220</v>
      </c>
      <c r="C275" s="44">
        <v>5705242</v>
      </c>
      <c r="D275" s="4" t="s">
        <v>297</v>
      </c>
      <c r="E275" s="80">
        <v>5000</v>
      </c>
      <c r="F275" s="80">
        <v>5000</v>
      </c>
      <c r="G275" s="232">
        <f t="shared" si="28"/>
        <v>0.5</v>
      </c>
      <c r="H275" s="80">
        <f t="shared" si="29"/>
        <v>2500</v>
      </c>
      <c r="I275" s="80">
        <v>7500</v>
      </c>
      <c r="J275" s="80">
        <v>7500</v>
      </c>
      <c r="K275" s="80">
        <v>7500</v>
      </c>
      <c r="L275" s="94"/>
      <c r="M275" s="81"/>
      <c r="N275" s="81"/>
      <c r="O275" s="81"/>
      <c r="P275" s="81"/>
      <c r="Q275" s="81"/>
      <c r="R275" s="81"/>
      <c r="S275" s="81"/>
      <c r="T275" s="81"/>
      <c r="U275" s="81"/>
      <c r="V275" s="81"/>
      <c r="W275" s="81"/>
    </row>
    <row r="276" spans="1:23" s="4" customFormat="1">
      <c r="B276" s="4">
        <v>220</v>
      </c>
      <c r="C276" s="44">
        <v>5705243</v>
      </c>
      <c r="D276" s="4" t="s">
        <v>264</v>
      </c>
      <c r="E276" s="80">
        <v>26000</v>
      </c>
      <c r="F276" s="80">
        <v>26000</v>
      </c>
      <c r="G276" s="232">
        <f t="shared" ref="G276:G339" si="30">(I276-F276)/E276</f>
        <v>0.53846153846153844</v>
      </c>
      <c r="H276" s="80">
        <f t="shared" si="29"/>
        <v>14000</v>
      </c>
      <c r="I276" s="80">
        <v>40000</v>
      </c>
      <c r="J276" s="80">
        <v>40000</v>
      </c>
      <c r="K276" s="80">
        <v>40000</v>
      </c>
      <c r="L276" s="94"/>
      <c r="M276" s="123">
        <f>SUM(I268:I272,I293:I297)</f>
        <v>1168442</v>
      </c>
      <c r="N276" s="81"/>
      <c r="O276" s="81"/>
      <c r="P276" s="81"/>
      <c r="Q276" s="81"/>
      <c r="R276" s="81"/>
      <c r="S276" s="81"/>
      <c r="T276" s="81"/>
      <c r="U276" s="81"/>
      <c r="V276" s="81"/>
      <c r="W276" s="81"/>
    </row>
    <row r="277" spans="1:23" s="4" customFormat="1">
      <c r="B277" s="4">
        <v>220</v>
      </c>
      <c r="C277" s="44">
        <v>5705240</v>
      </c>
      <c r="D277" s="4" t="s">
        <v>298</v>
      </c>
      <c r="E277" s="80">
        <v>2500</v>
      </c>
      <c r="F277" s="80">
        <v>2500</v>
      </c>
      <c r="G277" s="232">
        <f t="shared" si="30"/>
        <v>3</v>
      </c>
      <c r="H277" s="80">
        <f t="shared" si="29"/>
        <v>7500</v>
      </c>
      <c r="I277" s="80">
        <v>10000</v>
      </c>
      <c r="J277" s="80">
        <v>10000</v>
      </c>
      <c r="K277" s="80">
        <v>10000</v>
      </c>
      <c r="L277" s="94"/>
      <c r="M277" s="123">
        <f>SUM(I273:I287,I298:I312)</f>
        <v>310000</v>
      </c>
      <c r="N277" s="81"/>
      <c r="O277" s="81"/>
      <c r="P277" s="81"/>
      <c r="Q277" s="81"/>
      <c r="R277" s="81"/>
      <c r="S277" s="81"/>
      <c r="T277" s="81"/>
      <c r="U277" s="81"/>
      <c r="V277" s="81"/>
      <c r="W277" s="81"/>
    </row>
    <row r="278" spans="1:23" s="4" customFormat="1">
      <c r="B278" s="4">
        <v>220</v>
      </c>
      <c r="C278" s="44">
        <v>5705275</v>
      </c>
      <c r="D278" s="4" t="s">
        <v>266</v>
      </c>
      <c r="E278" s="80">
        <v>14000</v>
      </c>
      <c r="F278" s="80">
        <v>14000</v>
      </c>
      <c r="G278" s="232">
        <f t="shared" si="30"/>
        <v>0.14285714285714285</v>
      </c>
      <c r="H278" s="80">
        <f t="shared" si="29"/>
        <v>2000</v>
      </c>
      <c r="I278" s="80">
        <v>16000</v>
      </c>
      <c r="J278" s="80">
        <v>16000</v>
      </c>
      <c r="K278" s="80">
        <v>16000</v>
      </c>
      <c r="L278" s="94"/>
      <c r="M278" s="123">
        <f>SUM(M276:M277)</f>
        <v>1478442</v>
      </c>
      <c r="N278" s="81"/>
      <c r="O278" s="81"/>
      <c r="P278" s="81"/>
      <c r="Q278" s="81"/>
      <c r="R278" s="81"/>
      <c r="S278" s="81"/>
      <c r="T278" s="81"/>
      <c r="U278" s="81"/>
      <c r="V278" s="81"/>
      <c r="W278" s="81"/>
    </row>
    <row r="279" spans="1:23" s="4" customFormat="1">
      <c r="B279" s="4">
        <v>220</v>
      </c>
      <c r="C279" s="44">
        <v>5705240</v>
      </c>
      <c r="D279" s="4" t="s">
        <v>299</v>
      </c>
      <c r="E279" s="80">
        <v>560</v>
      </c>
      <c r="F279" s="80">
        <v>560</v>
      </c>
      <c r="G279" s="232">
        <f t="shared" si="30"/>
        <v>0.7857142857142857</v>
      </c>
      <c r="H279" s="80">
        <f t="shared" si="29"/>
        <v>440</v>
      </c>
      <c r="I279" s="80">
        <v>1000</v>
      </c>
      <c r="J279" s="80">
        <v>1000</v>
      </c>
      <c r="K279" s="80">
        <v>1000</v>
      </c>
      <c r="L279" s="94"/>
      <c r="M279" s="81"/>
      <c r="N279" s="81"/>
      <c r="O279" s="81"/>
      <c r="P279" s="81"/>
      <c r="Q279" s="81"/>
      <c r="R279" s="81"/>
      <c r="S279" s="81"/>
      <c r="T279" s="81"/>
      <c r="U279" s="81"/>
      <c r="V279" s="81"/>
      <c r="W279" s="81"/>
    </row>
    <row r="280" spans="1:23" s="4" customFormat="1">
      <c r="B280" s="4">
        <v>220</v>
      </c>
      <c r="C280" s="44">
        <v>5705423</v>
      </c>
      <c r="D280" s="4" t="s">
        <v>300</v>
      </c>
      <c r="E280" s="80">
        <v>3000</v>
      </c>
      <c r="F280" s="80">
        <v>2500</v>
      </c>
      <c r="G280" s="232">
        <f t="shared" si="30"/>
        <v>0</v>
      </c>
      <c r="H280" s="80">
        <f t="shared" si="29"/>
        <v>0</v>
      </c>
      <c r="I280" s="80">
        <v>2500</v>
      </c>
      <c r="J280" s="80">
        <v>2500</v>
      </c>
      <c r="K280" s="80">
        <v>2500</v>
      </c>
      <c r="L280" s="94"/>
      <c r="M280" s="81"/>
      <c r="N280" s="81"/>
      <c r="O280" s="81"/>
      <c r="P280" s="81"/>
      <c r="Q280" s="81"/>
      <c r="R280" s="81"/>
      <c r="S280" s="81"/>
      <c r="T280" s="81"/>
      <c r="U280" s="81"/>
      <c r="V280" s="81"/>
      <c r="W280" s="81"/>
    </row>
    <row r="281" spans="1:23" s="4" customFormat="1">
      <c r="B281" s="4">
        <v>220</v>
      </c>
      <c r="C281" s="44">
        <v>5705715</v>
      </c>
      <c r="D281" s="4" t="s">
        <v>301</v>
      </c>
      <c r="E281" s="80">
        <v>1000</v>
      </c>
      <c r="F281" s="80">
        <v>1000</v>
      </c>
      <c r="G281" s="232">
        <f t="shared" si="30"/>
        <v>0.5</v>
      </c>
      <c r="H281" s="80">
        <f t="shared" si="29"/>
        <v>500</v>
      </c>
      <c r="I281" s="80">
        <v>1500</v>
      </c>
      <c r="J281" s="80">
        <v>1500</v>
      </c>
      <c r="K281" s="80">
        <v>1500</v>
      </c>
      <c r="L281" s="94"/>
      <c r="M281" s="123"/>
      <c r="N281" s="81"/>
      <c r="O281" s="81"/>
      <c r="P281" s="81"/>
      <c r="Q281" s="81"/>
      <c r="R281" s="81"/>
      <c r="S281" s="81"/>
      <c r="T281" s="81"/>
      <c r="U281" s="81"/>
      <c r="V281" s="81"/>
      <c r="W281" s="81"/>
    </row>
    <row r="282" spans="1:23" s="4" customFormat="1">
      <c r="B282" s="4">
        <v>220</v>
      </c>
      <c r="C282" s="44">
        <v>5705491</v>
      </c>
      <c r="D282" s="4" t="s">
        <v>302</v>
      </c>
      <c r="E282" s="80">
        <v>13000</v>
      </c>
      <c r="F282" s="80">
        <v>13000</v>
      </c>
      <c r="G282" s="232">
        <f t="shared" si="30"/>
        <v>0.15384615384615385</v>
      </c>
      <c r="H282" s="80">
        <f t="shared" si="29"/>
        <v>2000</v>
      </c>
      <c r="I282" s="80">
        <v>15000</v>
      </c>
      <c r="J282" s="80">
        <v>15000</v>
      </c>
      <c r="K282" s="80">
        <v>15000</v>
      </c>
      <c r="L282" s="94"/>
      <c r="M282" s="81"/>
      <c r="N282" s="81"/>
      <c r="O282" s="81"/>
      <c r="P282" s="81"/>
      <c r="Q282" s="81"/>
      <c r="R282" s="81"/>
      <c r="S282" s="81"/>
      <c r="T282" s="81"/>
      <c r="U282" s="81"/>
      <c r="V282" s="81"/>
      <c r="W282" s="81"/>
    </row>
    <row r="283" spans="1:23" s="4" customFormat="1">
      <c r="B283" s="4">
        <v>220</v>
      </c>
      <c r="C283" s="44">
        <v>5705420</v>
      </c>
      <c r="D283" s="4" t="s">
        <v>118</v>
      </c>
      <c r="E283" s="80">
        <v>3200</v>
      </c>
      <c r="F283" s="80">
        <v>3200</v>
      </c>
      <c r="G283" s="232">
        <f t="shared" si="30"/>
        <v>0.25</v>
      </c>
      <c r="H283" s="80">
        <f t="shared" si="29"/>
        <v>800</v>
      </c>
      <c r="I283" s="80">
        <v>4000</v>
      </c>
      <c r="J283" s="80">
        <v>4000</v>
      </c>
      <c r="K283" s="80">
        <v>4000</v>
      </c>
      <c r="L283" s="94"/>
      <c r="M283" s="81"/>
      <c r="N283" s="81"/>
      <c r="O283" s="81"/>
      <c r="P283" s="81"/>
      <c r="Q283" s="81"/>
      <c r="R283" s="81"/>
      <c r="S283" s="81"/>
      <c r="T283" s="81"/>
      <c r="U283" s="81"/>
      <c r="V283" s="81"/>
      <c r="W283" s="81"/>
    </row>
    <row r="284" spans="1:23" s="4" customFormat="1">
      <c r="B284" s="4">
        <v>220</v>
      </c>
      <c r="C284" s="44">
        <v>5705731</v>
      </c>
      <c r="D284" s="4" t="s">
        <v>303</v>
      </c>
      <c r="E284" s="80">
        <v>2500</v>
      </c>
      <c r="F284" s="80">
        <v>2500</v>
      </c>
      <c r="G284" s="232">
        <f t="shared" si="30"/>
        <v>1</v>
      </c>
      <c r="H284" s="80">
        <f t="shared" si="29"/>
        <v>2500</v>
      </c>
      <c r="I284" s="80">
        <v>5000</v>
      </c>
      <c r="J284" s="80">
        <v>5000</v>
      </c>
      <c r="K284" s="80">
        <v>5000</v>
      </c>
      <c r="L284" s="94"/>
      <c r="M284" s="81"/>
      <c r="N284" s="81"/>
      <c r="O284" s="81"/>
      <c r="P284" s="81"/>
      <c r="Q284" s="81"/>
      <c r="R284" s="81"/>
      <c r="S284" s="81"/>
      <c r="T284" s="81"/>
      <c r="U284" s="81"/>
      <c r="V284" s="81"/>
      <c r="W284" s="81"/>
    </row>
    <row r="285" spans="1:23" s="4" customFormat="1">
      <c r="B285" s="4">
        <v>220</v>
      </c>
      <c r="C285" s="44">
        <v>5705731</v>
      </c>
      <c r="D285" s="4" t="s">
        <v>120</v>
      </c>
      <c r="E285" s="80">
        <v>3000</v>
      </c>
      <c r="F285" s="80">
        <v>2500</v>
      </c>
      <c r="G285" s="232">
        <f t="shared" si="30"/>
        <v>0.5</v>
      </c>
      <c r="H285" s="80">
        <f t="shared" si="29"/>
        <v>1500</v>
      </c>
      <c r="I285" s="80">
        <v>4000</v>
      </c>
      <c r="J285" s="80">
        <v>4000</v>
      </c>
      <c r="K285" s="80">
        <v>4000</v>
      </c>
      <c r="L285" s="94"/>
      <c r="M285" s="81"/>
      <c r="N285" s="81"/>
      <c r="O285" s="81"/>
      <c r="P285" s="81"/>
      <c r="Q285" s="81"/>
      <c r="R285" s="81"/>
      <c r="S285" s="81"/>
      <c r="T285" s="81"/>
      <c r="U285" s="81"/>
      <c r="V285" s="81"/>
      <c r="W285" s="81"/>
    </row>
    <row r="286" spans="1:23" s="73" customFormat="1">
      <c r="A286" s="4"/>
      <c r="B286" s="4">
        <v>220</v>
      </c>
      <c r="C286" s="44">
        <v>5705855</v>
      </c>
      <c r="D286" s="4" t="s">
        <v>304</v>
      </c>
      <c r="E286" s="80">
        <v>11000</v>
      </c>
      <c r="F286" s="80">
        <v>13000</v>
      </c>
      <c r="G286" s="232">
        <f t="shared" si="30"/>
        <v>0.63636363636363635</v>
      </c>
      <c r="H286" s="80">
        <f t="shared" si="29"/>
        <v>7000</v>
      </c>
      <c r="I286" s="80">
        <v>20000</v>
      </c>
      <c r="J286" s="80">
        <v>20000</v>
      </c>
      <c r="K286" s="80">
        <v>20000</v>
      </c>
      <c r="L286" s="109"/>
      <c r="M286" s="127"/>
      <c r="N286" s="127"/>
      <c r="O286" s="127"/>
      <c r="P286" s="127"/>
      <c r="Q286" s="127"/>
      <c r="R286" s="127"/>
      <c r="S286" s="127"/>
      <c r="T286" s="127"/>
      <c r="U286" s="127"/>
      <c r="V286" s="127"/>
      <c r="W286" s="127"/>
    </row>
    <row r="287" spans="1:23" s="4" customFormat="1">
      <c r="A287" s="73"/>
      <c r="B287" s="79">
        <v>220</v>
      </c>
      <c r="C287" s="74"/>
      <c r="D287" s="79" t="s">
        <v>305</v>
      </c>
      <c r="E287" s="229">
        <v>1000</v>
      </c>
      <c r="F287" s="229">
        <v>1000</v>
      </c>
      <c r="G287" s="242">
        <f t="shared" si="30"/>
        <v>1</v>
      </c>
      <c r="H287" s="229">
        <f t="shared" si="29"/>
        <v>1000</v>
      </c>
      <c r="I287" s="229">
        <v>2000</v>
      </c>
      <c r="J287" s="229">
        <v>2000</v>
      </c>
      <c r="K287" s="229">
        <v>2000</v>
      </c>
      <c r="L287" s="94"/>
      <c r="M287" s="81"/>
      <c r="N287" s="81"/>
      <c r="O287" s="81"/>
      <c r="P287" s="81"/>
      <c r="Q287" s="81"/>
      <c r="R287" s="81"/>
      <c r="S287" s="81"/>
      <c r="T287" s="81"/>
      <c r="U287" s="81"/>
      <c r="V287" s="81"/>
      <c r="W287" s="81"/>
    </row>
    <row r="288" spans="1:23" s="4" customFormat="1">
      <c r="C288" s="44"/>
      <c r="D288" s="4" t="s">
        <v>306</v>
      </c>
      <c r="E288" s="94"/>
      <c r="F288" s="94"/>
      <c r="G288" s="234"/>
      <c r="H288" s="94">
        <f t="shared" si="29"/>
        <v>0</v>
      </c>
      <c r="I288" s="94"/>
      <c r="J288" s="94"/>
      <c r="K288" s="94"/>
      <c r="L288" s="94"/>
      <c r="M288" s="81"/>
      <c r="N288" s="81"/>
      <c r="O288" s="81"/>
      <c r="P288" s="81"/>
      <c r="Q288" s="81"/>
      <c r="R288" s="81"/>
      <c r="S288" s="81"/>
      <c r="T288" s="81"/>
      <c r="U288" s="81"/>
      <c r="V288" s="81"/>
      <c r="W288" s="81"/>
    </row>
    <row r="289" spans="1:23" s="4" customFormat="1">
      <c r="A289" s="4" t="s">
        <v>228</v>
      </c>
      <c r="B289" s="6" t="s">
        <v>104</v>
      </c>
      <c r="C289" s="43" t="s">
        <v>307</v>
      </c>
      <c r="D289" s="6"/>
      <c r="E289" s="226">
        <f>SUM(E268:E288)</f>
        <v>282337</v>
      </c>
      <c r="F289" s="226">
        <f>SUM(F268:F288)</f>
        <v>288030</v>
      </c>
      <c r="G289" s="235">
        <f t="shared" si="30"/>
        <v>0.21594760870874169</v>
      </c>
      <c r="H289" s="226">
        <f t="shared" si="29"/>
        <v>60970</v>
      </c>
      <c r="I289" s="226">
        <f>SUM(I268:I288)</f>
        <v>349000</v>
      </c>
      <c r="J289" s="226">
        <f>SUM(J268:J288)</f>
        <v>349000</v>
      </c>
      <c r="K289" s="226">
        <f>SUM(K268:K288)</f>
        <v>349000</v>
      </c>
      <c r="L289" s="81"/>
      <c r="M289" s="81"/>
      <c r="N289" s="81"/>
      <c r="O289" s="81"/>
      <c r="P289" s="81"/>
      <c r="Q289" s="81"/>
      <c r="R289" s="81"/>
      <c r="S289" s="81"/>
      <c r="T289" s="81"/>
      <c r="U289" s="81"/>
      <c r="V289" s="81"/>
      <c r="W289" s="81"/>
    </row>
    <row r="290" spans="1:23" s="4" customFormat="1">
      <c r="C290" s="44"/>
      <c r="E290" s="80"/>
      <c r="F290" s="80"/>
      <c r="G290" s="80"/>
      <c r="H290" s="80"/>
      <c r="I290" s="80"/>
      <c r="J290" s="80"/>
      <c r="K290" s="80"/>
      <c r="L290" s="81"/>
      <c r="M290" s="81"/>
      <c r="N290" s="81"/>
      <c r="O290" s="81"/>
      <c r="P290" s="81"/>
      <c r="Q290" s="81"/>
      <c r="R290" s="81"/>
      <c r="S290" s="81"/>
      <c r="T290" s="81"/>
      <c r="U290" s="81"/>
      <c r="V290" s="81"/>
      <c r="W290" s="81"/>
    </row>
    <row r="291" spans="1:23" s="4" customFormat="1">
      <c r="B291" s="6">
        <v>230</v>
      </c>
      <c r="C291" s="43" t="s">
        <v>308</v>
      </c>
      <c r="D291" s="6"/>
      <c r="E291" s="225"/>
      <c r="F291" s="225"/>
      <c r="G291" s="225"/>
      <c r="H291" s="225"/>
      <c r="I291" s="225"/>
      <c r="J291" s="225"/>
      <c r="K291" s="225"/>
      <c r="L291" s="94"/>
      <c r="M291" s="81"/>
      <c r="N291" s="81"/>
      <c r="O291" s="81"/>
      <c r="P291" s="81"/>
      <c r="Q291" s="81"/>
      <c r="R291" s="81"/>
      <c r="S291" s="81"/>
      <c r="T291" s="81"/>
      <c r="U291" s="81"/>
      <c r="V291" s="81"/>
      <c r="W291" s="81"/>
    </row>
    <row r="292" spans="1:23" s="4" customFormat="1">
      <c r="B292" s="4">
        <v>230</v>
      </c>
      <c r="C292" s="44">
        <v>5105112</v>
      </c>
      <c r="D292" s="4" t="s">
        <v>309</v>
      </c>
      <c r="E292" s="94"/>
      <c r="F292" s="94"/>
      <c r="G292" s="234"/>
      <c r="H292" s="94">
        <f t="shared" si="29"/>
        <v>0</v>
      </c>
      <c r="I292" s="94"/>
      <c r="J292" s="94"/>
      <c r="K292" s="94"/>
      <c r="L292" s="94"/>
      <c r="M292" s="81"/>
      <c r="N292" s="81"/>
      <c r="O292" s="81"/>
      <c r="P292" s="81"/>
      <c r="Q292" s="81"/>
      <c r="R292" s="81"/>
      <c r="S292" s="81"/>
      <c r="T292" s="81"/>
      <c r="U292" s="81"/>
      <c r="V292" s="81"/>
      <c r="W292" s="81"/>
    </row>
    <row r="293" spans="1:23" s="4" customFormat="1">
      <c r="B293" s="4">
        <v>230</v>
      </c>
      <c r="C293" s="44">
        <v>5105110</v>
      </c>
      <c r="D293" s="4" t="s">
        <v>250</v>
      </c>
      <c r="E293" s="94">
        <f>365000+100000</f>
        <v>465000</v>
      </c>
      <c r="F293" s="94">
        <v>465000</v>
      </c>
      <c r="G293" s="234">
        <f t="shared" si="30"/>
        <v>0.3827956989247312</v>
      </c>
      <c r="H293" s="94">
        <f t="shared" si="29"/>
        <v>178000</v>
      </c>
      <c r="I293" s="94">
        <v>643000</v>
      </c>
      <c r="J293" s="94">
        <v>643000</v>
      </c>
      <c r="K293" s="94">
        <v>643000</v>
      </c>
      <c r="L293" s="94"/>
      <c r="M293" s="81"/>
      <c r="N293" s="81"/>
      <c r="O293" s="81"/>
      <c r="P293" s="81"/>
      <c r="Q293" s="81"/>
      <c r="R293" s="81"/>
      <c r="S293" s="81"/>
      <c r="T293" s="81"/>
      <c r="U293" s="81"/>
      <c r="V293" s="81"/>
      <c r="W293" s="81"/>
    </row>
    <row r="294" spans="1:23" s="4" customFormat="1">
      <c r="B294" s="4">
        <v>230</v>
      </c>
      <c r="C294" s="44"/>
      <c r="D294" s="81" t="s">
        <v>310</v>
      </c>
      <c r="E294" s="94">
        <v>41028</v>
      </c>
      <c r="F294" s="94">
        <v>45500</v>
      </c>
      <c r="G294" s="234">
        <f t="shared" si="30"/>
        <v>2.2959929804036269E-2</v>
      </c>
      <c r="H294" s="94">
        <f t="shared" si="29"/>
        <v>942</v>
      </c>
      <c r="I294" s="94">
        <v>46442</v>
      </c>
      <c r="J294" s="94">
        <v>46442</v>
      </c>
      <c r="K294" s="94">
        <v>46442</v>
      </c>
      <c r="L294" s="94"/>
      <c r="M294" s="81"/>
      <c r="N294" s="81"/>
      <c r="O294" s="81"/>
      <c r="P294" s="81"/>
      <c r="Q294" s="81"/>
      <c r="R294" s="81"/>
      <c r="S294" s="81"/>
      <c r="T294" s="81"/>
      <c r="U294" s="81"/>
      <c r="V294" s="81"/>
      <c r="W294" s="81"/>
    </row>
    <row r="295" spans="1:23" s="6" customFormat="1">
      <c r="A295" s="4"/>
      <c r="B295" s="4">
        <v>230</v>
      </c>
      <c r="C295" s="44">
        <v>5105154</v>
      </c>
      <c r="D295" s="4" t="s">
        <v>311</v>
      </c>
      <c r="E295" s="94">
        <v>140000</v>
      </c>
      <c r="F295" s="94">
        <v>140000</v>
      </c>
      <c r="G295" s="234">
        <f t="shared" si="30"/>
        <v>0</v>
      </c>
      <c r="H295" s="94">
        <f t="shared" si="29"/>
        <v>0</v>
      </c>
      <c r="I295" s="94">
        <v>140000</v>
      </c>
      <c r="J295" s="94">
        <v>140000</v>
      </c>
      <c r="K295" s="94">
        <v>140000</v>
      </c>
      <c r="L295" s="94"/>
      <c r="M295" s="81"/>
      <c r="N295" s="81"/>
      <c r="O295" s="81"/>
      <c r="P295" s="81"/>
      <c r="Q295" s="81"/>
      <c r="R295" s="81"/>
      <c r="S295" s="81"/>
      <c r="T295" s="81"/>
      <c r="U295" s="81"/>
      <c r="V295" s="81"/>
      <c r="W295" s="81"/>
    </row>
    <row r="296" spans="1:23" s="4" customFormat="1">
      <c r="B296" s="4">
        <v>230</v>
      </c>
      <c r="C296" s="44">
        <v>5105131</v>
      </c>
      <c r="D296" s="4" t="s">
        <v>253</v>
      </c>
      <c r="E296" s="94">
        <v>44000</v>
      </c>
      <c r="F296" s="94">
        <v>50000</v>
      </c>
      <c r="G296" s="234">
        <f t="shared" si="30"/>
        <v>1.5909090909090908</v>
      </c>
      <c r="H296" s="94">
        <f t="shared" si="29"/>
        <v>70000</v>
      </c>
      <c r="I296" s="94">
        <v>120000</v>
      </c>
      <c r="J296" s="94">
        <v>120000</v>
      </c>
      <c r="K296" s="94">
        <v>120000</v>
      </c>
      <c r="L296" s="94"/>
      <c r="M296" s="81"/>
      <c r="N296" s="81"/>
      <c r="O296" s="81"/>
      <c r="P296" s="81"/>
      <c r="Q296" s="81"/>
      <c r="R296" s="81"/>
      <c r="S296" s="81"/>
      <c r="T296" s="81"/>
      <c r="U296" s="81"/>
      <c r="V296" s="81"/>
      <c r="W296" s="81"/>
    </row>
    <row r="297" spans="1:23" s="4" customFormat="1">
      <c r="B297" s="4">
        <v>230</v>
      </c>
      <c r="C297" s="44">
        <v>5105156</v>
      </c>
      <c r="D297" s="4" t="s">
        <v>262</v>
      </c>
      <c r="E297" s="94">
        <v>6500</v>
      </c>
      <c r="F297" s="94">
        <v>9100</v>
      </c>
      <c r="G297" s="234">
        <f t="shared" si="30"/>
        <v>0.67692307692307696</v>
      </c>
      <c r="H297" s="94">
        <f t="shared" si="29"/>
        <v>4400</v>
      </c>
      <c r="I297" s="94">
        <v>13500</v>
      </c>
      <c r="J297" s="94">
        <v>13500</v>
      </c>
      <c r="K297" s="94">
        <v>13500</v>
      </c>
      <c r="L297" s="94"/>
      <c r="M297" s="81"/>
      <c r="N297" s="81"/>
      <c r="O297" s="81"/>
      <c r="P297" s="81"/>
      <c r="Q297" s="81"/>
      <c r="R297" s="81"/>
      <c r="S297" s="81"/>
      <c r="T297" s="81"/>
      <c r="U297" s="81"/>
      <c r="V297" s="81"/>
      <c r="W297" s="81"/>
    </row>
    <row r="298" spans="1:23" s="4" customFormat="1">
      <c r="B298" s="4">
        <v>230</v>
      </c>
      <c r="C298" s="44">
        <v>5705260</v>
      </c>
      <c r="D298" s="4" t="s">
        <v>312</v>
      </c>
      <c r="E298" s="94">
        <v>6000</v>
      </c>
      <c r="F298" s="94">
        <v>6000</v>
      </c>
      <c r="G298" s="234">
        <f t="shared" si="30"/>
        <v>0.33333333333333331</v>
      </c>
      <c r="H298" s="94">
        <f t="shared" si="29"/>
        <v>2000</v>
      </c>
      <c r="I298" s="94">
        <v>8000</v>
      </c>
      <c r="J298" s="94">
        <v>8000</v>
      </c>
      <c r="K298" s="94">
        <v>8000</v>
      </c>
      <c r="L298" s="94"/>
      <c r="M298" s="81"/>
      <c r="N298" s="81"/>
      <c r="O298" s="81"/>
      <c r="P298" s="81"/>
      <c r="Q298" s="81"/>
      <c r="R298" s="81"/>
      <c r="S298" s="81"/>
      <c r="T298" s="81"/>
      <c r="U298" s="81"/>
      <c r="V298" s="81"/>
      <c r="W298" s="81"/>
    </row>
    <row r="299" spans="1:23" s="4" customFormat="1">
      <c r="B299" s="4">
        <v>230</v>
      </c>
      <c r="C299" s="44">
        <v>5705242</v>
      </c>
      <c r="D299" s="4" t="s">
        <v>313</v>
      </c>
      <c r="E299" s="94">
        <v>14000</v>
      </c>
      <c r="F299" s="94">
        <v>14000</v>
      </c>
      <c r="G299" s="234">
        <f t="shared" si="30"/>
        <v>0.14285714285714285</v>
      </c>
      <c r="H299" s="94">
        <f t="shared" si="29"/>
        <v>2000</v>
      </c>
      <c r="I299" s="94">
        <v>16000</v>
      </c>
      <c r="J299" s="94">
        <v>16000</v>
      </c>
      <c r="K299" s="94">
        <v>16000</v>
      </c>
      <c r="L299" s="94"/>
      <c r="M299" s="81"/>
      <c r="N299" s="81"/>
      <c r="O299" s="81"/>
      <c r="P299" s="81"/>
      <c r="Q299" s="81"/>
      <c r="R299" s="81"/>
      <c r="S299" s="81"/>
      <c r="T299" s="81"/>
      <c r="U299" s="81"/>
      <c r="V299" s="81"/>
      <c r="W299" s="81"/>
    </row>
    <row r="300" spans="1:23" s="4" customFormat="1">
      <c r="B300" s="4">
        <v>230</v>
      </c>
      <c r="C300" s="44">
        <v>5705243</v>
      </c>
      <c r="D300" s="4" t="s">
        <v>314</v>
      </c>
      <c r="E300" s="94">
        <v>10000</v>
      </c>
      <c r="F300" s="94">
        <v>10000</v>
      </c>
      <c r="G300" s="234">
        <f t="shared" si="30"/>
        <v>0.5</v>
      </c>
      <c r="H300" s="94">
        <f t="shared" si="29"/>
        <v>5000</v>
      </c>
      <c r="I300" s="94">
        <v>15000</v>
      </c>
      <c r="J300" s="94">
        <v>15000</v>
      </c>
      <c r="K300" s="94">
        <v>15000</v>
      </c>
      <c r="L300" s="94"/>
      <c r="M300" s="81"/>
      <c r="N300" s="81"/>
      <c r="O300" s="81"/>
      <c r="P300" s="81"/>
      <c r="Q300" s="81"/>
      <c r="R300" s="81"/>
      <c r="S300" s="81"/>
      <c r="T300" s="81"/>
      <c r="U300" s="81"/>
      <c r="V300" s="81"/>
      <c r="W300" s="81"/>
    </row>
    <row r="301" spans="1:23" s="4" customFormat="1">
      <c r="B301" s="4">
        <v>230</v>
      </c>
      <c r="C301" s="44">
        <v>5705289</v>
      </c>
      <c r="D301" s="4" t="s">
        <v>315</v>
      </c>
      <c r="E301" s="94">
        <v>5500</v>
      </c>
      <c r="F301" s="94">
        <v>5500</v>
      </c>
      <c r="G301" s="234">
        <f t="shared" si="30"/>
        <v>0.36363636363636365</v>
      </c>
      <c r="H301" s="94">
        <f t="shared" si="29"/>
        <v>2000</v>
      </c>
      <c r="I301" s="94">
        <v>7500</v>
      </c>
      <c r="J301" s="94">
        <v>7500</v>
      </c>
      <c r="K301" s="94">
        <v>7500</v>
      </c>
      <c r="L301" s="94"/>
      <c r="M301" s="81"/>
      <c r="N301" s="81"/>
      <c r="O301" s="81"/>
      <c r="P301" s="81"/>
      <c r="Q301" s="81"/>
      <c r="R301" s="81"/>
      <c r="S301" s="81"/>
      <c r="T301" s="81"/>
      <c r="U301" s="81"/>
      <c r="V301" s="81"/>
      <c r="W301" s="81"/>
    </row>
    <row r="302" spans="1:23" s="4" customFormat="1">
      <c r="B302" s="4">
        <v>230</v>
      </c>
      <c r="C302" s="44">
        <v>5705342</v>
      </c>
      <c r="D302" s="4" t="s">
        <v>316</v>
      </c>
      <c r="E302" s="94">
        <v>4000</v>
      </c>
      <c r="F302" s="94">
        <v>5600</v>
      </c>
      <c r="G302" s="234">
        <f t="shared" si="30"/>
        <v>1.1000000000000001</v>
      </c>
      <c r="H302" s="94">
        <f t="shared" si="29"/>
        <v>4400</v>
      </c>
      <c r="I302" s="94">
        <v>10000</v>
      </c>
      <c r="J302" s="94">
        <v>10000</v>
      </c>
      <c r="K302" s="94">
        <v>10000</v>
      </c>
      <c r="L302" s="94"/>
      <c r="M302" s="81"/>
      <c r="N302" s="81"/>
      <c r="O302" s="81"/>
      <c r="P302" s="81"/>
      <c r="Q302" s="81"/>
      <c r="R302" s="81"/>
      <c r="S302" s="81"/>
      <c r="T302" s="81"/>
      <c r="U302" s="81"/>
      <c r="V302" s="81"/>
      <c r="W302" s="81"/>
    </row>
    <row r="303" spans="1:23" s="4" customFormat="1">
      <c r="B303" s="4">
        <v>230</v>
      </c>
      <c r="C303" s="44">
        <v>5705715</v>
      </c>
      <c r="D303" s="4" t="s">
        <v>145</v>
      </c>
      <c r="E303" s="94">
        <v>5000</v>
      </c>
      <c r="F303" s="94">
        <v>5000</v>
      </c>
      <c r="G303" s="234">
        <f t="shared" si="30"/>
        <v>0</v>
      </c>
      <c r="H303" s="94">
        <f t="shared" si="29"/>
        <v>0</v>
      </c>
      <c r="I303" s="94">
        <v>5000</v>
      </c>
      <c r="J303" s="94">
        <v>5000</v>
      </c>
      <c r="K303" s="94">
        <v>5000</v>
      </c>
      <c r="L303" s="94"/>
      <c r="M303" s="81"/>
      <c r="N303" s="81"/>
      <c r="O303" s="81"/>
      <c r="P303" s="81"/>
      <c r="Q303" s="81"/>
      <c r="R303" s="81"/>
      <c r="S303" s="81"/>
      <c r="T303" s="81"/>
      <c r="U303" s="81"/>
      <c r="V303" s="81"/>
      <c r="W303" s="81"/>
    </row>
    <row r="304" spans="1:23" s="4" customFormat="1">
      <c r="B304" s="4">
        <v>230</v>
      </c>
      <c r="C304" s="44"/>
      <c r="D304" s="4" t="s">
        <v>317</v>
      </c>
      <c r="E304" s="94"/>
      <c r="F304" s="94"/>
      <c r="G304" s="234"/>
      <c r="H304" s="94">
        <f t="shared" si="29"/>
        <v>0</v>
      </c>
      <c r="I304" s="94"/>
      <c r="J304" s="94"/>
      <c r="K304" s="94"/>
      <c r="L304" s="94"/>
      <c r="M304" s="81"/>
      <c r="N304" s="81"/>
      <c r="O304" s="81"/>
      <c r="P304" s="81"/>
      <c r="Q304" s="81"/>
      <c r="R304" s="81"/>
      <c r="S304" s="81"/>
      <c r="T304" s="81"/>
      <c r="U304" s="81"/>
      <c r="V304" s="81"/>
      <c r="W304" s="81"/>
    </row>
    <row r="305" spans="1:23" s="4" customFormat="1">
      <c r="B305" s="4">
        <v>230</v>
      </c>
      <c r="C305" s="44">
        <v>5705751</v>
      </c>
      <c r="D305" s="4" t="s">
        <v>318</v>
      </c>
      <c r="E305" s="94">
        <v>2500</v>
      </c>
      <c r="F305" s="94">
        <v>2000</v>
      </c>
      <c r="G305" s="234">
        <f t="shared" si="30"/>
        <v>0.2</v>
      </c>
      <c r="H305" s="94">
        <f t="shared" si="29"/>
        <v>500</v>
      </c>
      <c r="I305" s="94">
        <v>2500</v>
      </c>
      <c r="J305" s="94">
        <v>2500</v>
      </c>
      <c r="K305" s="94">
        <v>2500</v>
      </c>
      <c r="L305" s="94"/>
      <c r="M305" s="81"/>
      <c r="N305" s="81"/>
      <c r="O305" s="81"/>
      <c r="P305" s="81"/>
      <c r="Q305" s="81"/>
      <c r="R305" s="81"/>
      <c r="S305" s="81"/>
      <c r="T305" s="81"/>
      <c r="U305" s="81"/>
      <c r="V305" s="81"/>
      <c r="W305" s="81"/>
    </row>
    <row r="306" spans="1:23" s="4" customFormat="1">
      <c r="B306" s="4">
        <v>230</v>
      </c>
      <c r="C306" s="44">
        <v>5705420</v>
      </c>
      <c r="D306" s="4" t="s">
        <v>118</v>
      </c>
      <c r="E306" s="94">
        <v>1000</v>
      </c>
      <c r="F306" s="94">
        <v>1000</v>
      </c>
      <c r="G306" s="234">
        <f t="shared" si="30"/>
        <v>2</v>
      </c>
      <c r="H306" s="94">
        <f t="shared" si="29"/>
        <v>2000</v>
      </c>
      <c r="I306" s="94">
        <v>3000</v>
      </c>
      <c r="J306" s="94">
        <v>3000</v>
      </c>
      <c r="K306" s="94">
        <v>3000</v>
      </c>
      <c r="L306" s="94"/>
      <c r="M306" s="81"/>
      <c r="N306" s="81"/>
      <c r="O306" s="81"/>
      <c r="P306" s="81"/>
      <c r="Q306" s="81"/>
      <c r="R306" s="81"/>
      <c r="S306" s="81"/>
      <c r="T306" s="81"/>
      <c r="U306" s="81"/>
      <c r="V306" s="81"/>
      <c r="W306" s="81"/>
    </row>
    <row r="307" spans="1:23" s="4" customFormat="1">
      <c r="B307" s="4">
        <v>230</v>
      </c>
      <c r="C307" s="44">
        <v>5705491</v>
      </c>
      <c r="D307" s="4" t="s">
        <v>302</v>
      </c>
      <c r="E307" s="94">
        <v>5500</v>
      </c>
      <c r="F307" s="94">
        <v>5500</v>
      </c>
      <c r="G307" s="234">
        <f t="shared" si="30"/>
        <v>0.36363636363636365</v>
      </c>
      <c r="H307" s="94">
        <f t="shared" si="29"/>
        <v>2000</v>
      </c>
      <c r="I307" s="94">
        <v>7500</v>
      </c>
      <c r="J307" s="94">
        <v>7500</v>
      </c>
      <c r="K307" s="94">
        <v>7500</v>
      </c>
      <c r="L307" s="94"/>
      <c r="M307" s="81"/>
      <c r="N307" s="81"/>
      <c r="O307" s="81"/>
      <c r="P307" s="81"/>
      <c r="Q307" s="81"/>
      <c r="R307" s="81"/>
      <c r="S307" s="81"/>
      <c r="T307" s="81"/>
      <c r="U307" s="81"/>
      <c r="V307" s="81"/>
      <c r="W307" s="81"/>
    </row>
    <row r="308" spans="1:23" s="4" customFormat="1">
      <c r="B308" s="4">
        <v>230</v>
      </c>
      <c r="C308" s="44">
        <v>5705275</v>
      </c>
      <c r="D308" s="4" t="s">
        <v>147</v>
      </c>
      <c r="E308" s="94">
        <v>15000</v>
      </c>
      <c r="F308" s="94">
        <v>15000</v>
      </c>
      <c r="G308" s="234">
        <f t="shared" si="30"/>
        <v>0.2</v>
      </c>
      <c r="H308" s="94">
        <f t="shared" si="29"/>
        <v>3000</v>
      </c>
      <c r="I308" s="94">
        <v>18000</v>
      </c>
      <c r="J308" s="94">
        <v>18000</v>
      </c>
      <c r="K308" s="94">
        <v>18000</v>
      </c>
      <c r="L308" s="94"/>
      <c r="M308" s="81"/>
      <c r="N308" s="81"/>
      <c r="O308" s="81"/>
      <c r="P308" s="81"/>
      <c r="Q308" s="81"/>
      <c r="R308" s="81"/>
      <c r="S308" s="81"/>
      <c r="T308" s="81"/>
      <c r="U308" s="81"/>
      <c r="V308" s="81"/>
      <c r="W308" s="81"/>
    </row>
    <row r="309" spans="1:23" s="4" customFormat="1">
      <c r="B309" s="4">
        <v>230</v>
      </c>
      <c r="C309" s="44">
        <v>5705433</v>
      </c>
      <c r="D309" s="4" t="s">
        <v>319</v>
      </c>
      <c r="E309" s="94">
        <v>20000</v>
      </c>
      <c r="F309" s="94">
        <v>21000</v>
      </c>
      <c r="G309" s="234">
        <f t="shared" si="30"/>
        <v>0.2</v>
      </c>
      <c r="H309" s="94">
        <f t="shared" si="29"/>
        <v>4000</v>
      </c>
      <c r="I309" s="94">
        <v>25000</v>
      </c>
      <c r="J309" s="94">
        <v>25000</v>
      </c>
      <c r="K309" s="94">
        <v>25000</v>
      </c>
      <c r="L309" s="94"/>
      <c r="M309" s="81"/>
      <c r="N309" s="81"/>
      <c r="O309" s="81"/>
      <c r="P309" s="81"/>
      <c r="Q309" s="81"/>
      <c r="R309" s="81"/>
      <c r="S309" s="81"/>
      <c r="T309" s="81"/>
      <c r="U309" s="81"/>
      <c r="V309" s="81"/>
      <c r="W309" s="81"/>
    </row>
    <row r="310" spans="1:23" s="6" customFormat="1">
      <c r="A310" s="4"/>
      <c r="B310" s="4">
        <v>230</v>
      </c>
      <c r="C310" s="44"/>
      <c r="D310" s="4" t="s">
        <v>119</v>
      </c>
      <c r="E310" s="94"/>
      <c r="F310" s="94"/>
      <c r="G310" s="234"/>
      <c r="H310" s="94">
        <f t="shared" si="29"/>
        <v>0</v>
      </c>
      <c r="I310" s="94"/>
      <c r="J310" s="94"/>
      <c r="K310" s="94"/>
      <c r="L310" s="94"/>
      <c r="M310" s="81"/>
      <c r="N310" s="81"/>
      <c r="O310" s="81"/>
      <c r="P310" s="81"/>
      <c r="Q310" s="81"/>
      <c r="R310" s="81"/>
      <c r="S310" s="81"/>
      <c r="T310" s="81"/>
      <c r="U310" s="81"/>
      <c r="V310" s="81"/>
      <c r="W310" s="81"/>
    </row>
    <row r="311" spans="1:23" s="4" customFormat="1">
      <c r="B311" s="4">
        <v>230</v>
      </c>
      <c r="C311" s="44">
        <v>5705731</v>
      </c>
      <c r="D311" s="4" t="s">
        <v>120</v>
      </c>
      <c r="E311" s="94">
        <v>1000</v>
      </c>
      <c r="F311" s="94">
        <v>2000</v>
      </c>
      <c r="G311" s="234">
        <f t="shared" si="30"/>
        <v>2</v>
      </c>
      <c r="H311" s="94">
        <f t="shared" si="29"/>
        <v>2000</v>
      </c>
      <c r="I311" s="94">
        <v>4000</v>
      </c>
      <c r="J311" s="94">
        <v>4000</v>
      </c>
      <c r="K311" s="94">
        <v>4000</v>
      </c>
      <c r="L311" s="95"/>
      <c r="M311" s="81"/>
      <c r="N311" s="81"/>
      <c r="O311" s="81"/>
      <c r="P311" s="81"/>
      <c r="Q311" s="81"/>
      <c r="R311" s="81"/>
      <c r="S311" s="81"/>
      <c r="T311" s="81"/>
      <c r="U311" s="81"/>
      <c r="V311" s="81"/>
      <c r="W311" s="81"/>
    </row>
    <row r="312" spans="1:23" s="6" customFormat="1">
      <c r="A312" s="4"/>
      <c r="B312" s="4">
        <v>230</v>
      </c>
      <c r="C312" s="44">
        <v>5705855</v>
      </c>
      <c r="D312" s="4" t="s">
        <v>149</v>
      </c>
      <c r="E312" s="94">
        <v>4000</v>
      </c>
      <c r="F312" s="94">
        <v>39000</v>
      </c>
      <c r="G312" s="234">
        <f t="shared" si="30"/>
        <v>1.5</v>
      </c>
      <c r="H312" s="94">
        <f t="shared" si="29"/>
        <v>6000</v>
      </c>
      <c r="I312" s="94">
        <v>45000</v>
      </c>
      <c r="J312" s="94">
        <v>45000</v>
      </c>
      <c r="K312" s="94">
        <v>45000</v>
      </c>
      <c r="L312" s="94"/>
      <c r="M312" s="81"/>
      <c r="N312" s="81"/>
      <c r="O312" s="81"/>
      <c r="P312" s="81"/>
      <c r="Q312" s="81"/>
      <c r="R312" s="81"/>
      <c r="S312" s="81"/>
      <c r="T312" s="81"/>
      <c r="U312" s="81"/>
      <c r="V312" s="81"/>
      <c r="W312" s="81"/>
    </row>
    <row r="313" spans="1:23" s="4" customFormat="1">
      <c r="C313" s="44"/>
      <c r="E313" s="94"/>
      <c r="F313" s="94"/>
      <c r="G313" s="234"/>
      <c r="H313" s="94">
        <f t="shared" si="29"/>
        <v>0</v>
      </c>
      <c r="I313" s="94"/>
      <c r="J313" s="94"/>
      <c r="K313" s="94"/>
      <c r="L313" s="94"/>
      <c r="M313" s="81"/>
      <c r="N313" s="81"/>
      <c r="O313" s="81"/>
      <c r="P313" s="81"/>
      <c r="Q313" s="81"/>
      <c r="R313" s="81"/>
      <c r="S313" s="81"/>
      <c r="T313" s="81"/>
      <c r="U313" s="81"/>
      <c r="V313" s="81"/>
      <c r="W313" s="81"/>
    </row>
    <row r="314" spans="1:23" s="4" customFormat="1">
      <c r="A314" s="4" t="s">
        <v>228</v>
      </c>
      <c r="B314" s="6" t="s">
        <v>104</v>
      </c>
      <c r="C314" s="6" t="s">
        <v>320</v>
      </c>
      <c r="D314" s="6"/>
      <c r="E314" s="226">
        <f>SUM(E292:E313)</f>
        <v>790028</v>
      </c>
      <c r="F314" s="226">
        <f>SUM(F292:F313)</f>
        <v>841200</v>
      </c>
      <c r="G314" s="235">
        <f t="shared" si="30"/>
        <v>0.36485035973408536</v>
      </c>
      <c r="H314" s="226">
        <f t="shared" si="29"/>
        <v>288242</v>
      </c>
      <c r="I314" s="226">
        <f>SUM(I292:I313)</f>
        <v>1129442</v>
      </c>
      <c r="J314" s="226">
        <f>SUM(J292:J313)</f>
        <v>1129442</v>
      </c>
      <c r="K314" s="226">
        <f>SUM(K292:K313)</f>
        <v>1129442</v>
      </c>
      <c r="L314" s="81"/>
      <c r="M314" s="81"/>
      <c r="N314" s="81"/>
      <c r="O314" s="81"/>
      <c r="P314" s="81"/>
      <c r="Q314" s="81"/>
      <c r="R314" s="81"/>
      <c r="S314" s="81"/>
      <c r="T314" s="81"/>
      <c r="U314" s="81"/>
      <c r="V314" s="81"/>
      <c r="W314" s="81"/>
    </row>
    <row r="315" spans="1:23" s="4" customFormat="1">
      <c r="C315" s="44"/>
      <c r="E315" s="80"/>
      <c r="F315" s="80"/>
      <c r="G315" s="80"/>
      <c r="H315" s="80"/>
      <c r="I315" s="80"/>
      <c r="J315" s="80"/>
      <c r="K315" s="80"/>
      <c r="L315" s="81"/>
      <c r="M315" s="123">
        <f>SUM(I317:I324,I334:I341,I354:I355,I368)</f>
        <v>482415.8</v>
      </c>
      <c r="N315" s="81"/>
      <c r="O315" s="81"/>
      <c r="P315" s="81"/>
      <c r="Q315" s="81"/>
      <c r="R315" s="81"/>
      <c r="S315" s="81"/>
      <c r="T315" s="81"/>
      <c r="U315" s="81"/>
      <c r="V315" s="81"/>
      <c r="W315" s="81"/>
    </row>
    <row r="316" spans="1:23" s="4" customFormat="1">
      <c r="B316" s="6">
        <v>241</v>
      </c>
      <c r="C316" s="43" t="s">
        <v>321</v>
      </c>
      <c r="D316" s="6"/>
      <c r="E316" s="226"/>
      <c r="F316" s="226"/>
      <c r="G316" s="226"/>
      <c r="H316" s="226">
        <f t="shared" si="29"/>
        <v>0</v>
      </c>
      <c r="I316" s="226"/>
      <c r="J316" s="226"/>
      <c r="K316" s="226"/>
      <c r="L316" s="94"/>
      <c r="M316" s="123">
        <f>SUM(I322:I330,I342:I349,I356:I361,I369,I189)</f>
        <v>194654.46</v>
      </c>
      <c r="N316" s="81"/>
      <c r="O316" s="81"/>
      <c r="P316" s="81"/>
      <c r="Q316" s="81"/>
      <c r="R316" s="81"/>
      <c r="S316" s="81"/>
      <c r="T316" s="81"/>
      <c r="U316" s="81"/>
      <c r="V316" s="81"/>
      <c r="W316" s="81"/>
    </row>
    <row r="317" spans="1:23" s="4" customFormat="1">
      <c r="B317" s="4">
        <v>241</v>
      </c>
      <c r="C317" s="44">
        <v>5105110</v>
      </c>
      <c r="D317" s="4" t="s">
        <v>322</v>
      </c>
      <c r="E317" s="94">
        <v>24440</v>
      </c>
      <c r="F317" s="94">
        <v>24733.279999999999</v>
      </c>
      <c r="G317" s="234">
        <f t="shared" si="30"/>
        <v>2.2613224222585924</v>
      </c>
      <c r="H317" s="94">
        <f>I317-F317</f>
        <v>55266.720000000001</v>
      </c>
      <c r="I317" s="94">
        <v>80000</v>
      </c>
      <c r="J317" s="94">
        <v>80000</v>
      </c>
      <c r="K317" s="94">
        <v>80000</v>
      </c>
      <c r="L317" s="94"/>
      <c r="M317" s="81"/>
      <c r="N317" s="81"/>
      <c r="O317" s="81"/>
      <c r="P317" s="81"/>
      <c r="Q317" s="81"/>
      <c r="R317" s="81"/>
      <c r="S317" s="81"/>
      <c r="T317" s="81"/>
      <c r="U317" s="81"/>
      <c r="V317" s="81"/>
      <c r="W317" s="81"/>
    </row>
    <row r="318" spans="1:23" s="4" customFormat="1">
      <c r="B318" s="4">
        <v>241</v>
      </c>
      <c r="C318" s="44"/>
      <c r="D318" s="4" t="s">
        <v>323</v>
      </c>
      <c r="E318" s="94">
        <v>0</v>
      </c>
      <c r="F318" s="94">
        <v>0</v>
      </c>
      <c r="G318" s="234"/>
      <c r="H318" s="94">
        <f t="shared" si="29"/>
        <v>0</v>
      </c>
      <c r="I318" s="94">
        <v>0</v>
      </c>
      <c r="J318" s="94">
        <v>0</v>
      </c>
      <c r="K318" s="94">
        <v>0</v>
      </c>
      <c r="L318" s="94"/>
      <c r="M318" s="81"/>
      <c r="N318" s="81"/>
      <c r="O318" s="81"/>
      <c r="P318" s="81"/>
      <c r="Q318" s="81"/>
      <c r="R318" s="81"/>
      <c r="S318" s="81"/>
      <c r="T318" s="81"/>
      <c r="U318" s="81"/>
      <c r="V318" s="81"/>
      <c r="W318" s="81"/>
    </row>
    <row r="319" spans="1:23" s="4" customFormat="1">
      <c r="B319" s="4">
        <v>241</v>
      </c>
      <c r="C319" s="44">
        <v>5105110</v>
      </c>
      <c r="D319" s="4" t="s">
        <v>114</v>
      </c>
      <c r="E319" s="94">
        <v>22400</v>
      </c>
      <c r="F319" s="94">
        <v>26396</v>
      </c>
      <c r="G319" s="234">
        <f t="shared" si="30"/>
        <v>5.891964285714299E-2</v>
      </c>
      <c r="H319" s="94">
        <f t="shared" si="29"/>
        <v>1319.8000000000029</v>
      </c>
      <c r="I319" s="94">
        <f>26396*1.05</f>
        <v>27715.800000000003</v>
      </c>
      <c r="J319" s="94">
        <f>26396*1.05</f>
        <v>27715.800000000003</v>
      </c>
      <c r="K319" s="94">
        <f>26396*1.05</f>
        <v>27715.800000000003</v>
      </c>
      <c r="L319" s="94"/>
      <c r="M319" s="81"/>
      <c r="N319" s="81"/>
      <c r="O319" s="81"/>
      <c r="P319" s="81"/>
      <c r="Q319" s="81"/>
      <c r="R319" s="81"/>
      <c r="S319" s="81"/>
      <c r="T319" s="81"/>
      <c r="U319" s="81"/>
      <c r="V319" s="81"/>
      <c r="W319" s="81"/>
    </row>
    <row r="320" spans="1:23" s="4" customFormat="1">
      <c r="B320" s="4">
        <v>241</v>
      </c>
      <c r="C320" s="44"/>
      <c r="D320" s="4" t="s">
        <v>115</v>
      </c>
      <c r="E320" s="94"/>
      <c r="F320" s="94"/>
      <c r="G320" s="234"/>
      <c r="H320" s="94">
        <f t="shared" si="29"/>
        <v>0</v>
      </c>
      <c r="I320" s="94"/>
      <c r="J320" s="94"/>
      <c r="K320" s="94"/>
      <c r="L320" s="94"/>
      <c r="M320" s="81"/>
      <c r="N320" s="81"/>
      <c r="O320" s="81"/>
      <c r="P320" s="81"/>
      <c r="Q320" s="81"/>
      <c r="R320" s="81"/>
      <c r="S320" s="81"/>
      <c r="T320" s="81"/>
      <c r="U320" s="81"/>
      <c r="V320" s="81"/>
      <c r="W320" s="81"/>
    </row>
    <row r="321" spans="1:23" s="4" customFormat="1">
      <c r="B321" s="4">
        <v>241</v>
      </c>
      <c r="C321" s="44"/>
      <c r="D321" s="4" t="s">
        <v>324</v>
      </c>
      <c r="E321" s="94"/>
      <c r="F321" s="94"/>
      <c r="G321" s="234"/>
      <c r="H321" s="94">
        <f t="shared" si="29"/>
        <v>0</v>
      </c>
      <c r="I321" s="94"/>
      <c r="J321" s="94"/>
      <c r="K321" s="94"/>
      <c r="L321" s="94"/>
      <c r="M321" s="81"/>
      <c r="N321" s="81"/>
      <c r="O321" s="81"/>
      <c r="P321" s="81"/>
      <c r="Q321" s="81"/>
      <c r="R321" s="81"/>
      <c r="S321" s="81"/>
      <c r="T321" s="81"/>
      <c r="U321" s="81"/>
      <c r="V321" s="81"/>
      <c r="W321" s="81"/>
    </row>
    <row r="322" spans="1:23" s="4" customFormat="1">
      <c r="B322" s="4">
        <v>241</v>
      </c>
      <c r="C322" s="44"/>
      <c r="D322" s="4" t="s">
        <v>325</v>
      </c>
      <c r="E322" s="94"/>
      <c r="F322" s="94"/>
      <c r="G322" s="234"/>
      <c r="H322" s="94">
        <f t="shared" si="29"/>
        <v>0</v>
      </c>
      <c r="I322" s="94"/>
      <c r="J322" s="94"/>
      <c r="K322" s="94"/>
      <c r="L322" s="94"/>
      <c r="M322" s="81"/>
      <c r="N322" s="81"/>
      <c r="O322" s="81"/>
      <c r="P322" s="81"/>
      <c r="Q322" s="81"/>
      <c r="R322" s="81"/>
      <c r="S322" s="81"/>
      <c r="T322" s="81"/>
      <c r="U322" s="81"/>
      <c r="V322" s="81"/>
      <c r="W322" s="81"/>
    </row>
    <row r="323" spans="1:23" s="4" customFormat="1">
      <c r="B323" s="4">
        <v>241</v>
      </c>
      <c r="C323" s="44"/>
      <c r="D323" s="4" t="s">
        <v>326</v>
      </c>
      <c r="E323" s="94"/>
      <c r="F323" s="94"/>
      <c r="G323" s="234"/>
      <c r="H323" s="94">
        <f t="shared" si="29"/>
        <v>0</v>
      </c>
      <c r="I323" s="94"/>
      <c r="J323" s="94"/>
      <c r="K323" s="94"/>
      <c r="L323" s="94"/>
      <c r="M323" s="81"/>
      <c r="N323" s="81"/>
      <c r="O323" s="81"/>
      <c r="P323" s="81"/>
      <c r="Q323" s="81"/>
      <c r="R323" s="81"/>
      <c r="S323" s="81"/>
      <c r="T323" s="81"/>
      <c r="U323" s="81"/>
      <c r="V323" s="81"/>
      <c r="W323" s="81"/>
    </row>
    <row r="324" spans="1:23" s="4" customFormat="1">
      <c r="B324" s="4">
        <v>241</v>
      </c>
      <c r="C324" s="44">
        <v>5105110</v>
      </c>
      <c r="D324" s="4" t="s">
        <v>327</v>
      </c>
      <c r="E324" s="94">
        <v>1500</v>
      </c>
      <c r="F324" s="94">
        <v>1500</v>
      </c>
      <c r="G324" s="234">
        <f t="shared" si="30"/>
        <v>0</v>
      </c>
      <c r="H324" s="94">
        <f t="shared" si="29"/>
        <v>0</v>
      </c>
      <c r="I324" s="94">
        <v>1500</v>
      </c>
      <c r="J324" s="94">
        <v>1500</v>
      </c>
      <c r="K324" s="94">
        <v>1500</v>
      </c>
      <c r="L324" s="94"/>
      <c r="M324" s="81"/>
      <c r="N324" s="81"/>
      <c r="O324" s="81"/>
      <c r="P324" s="81"/>
      <c r="Q324" s="81"/>
      <c r="R324" s="81"/>
      <c r="S324" s="81"/>
      <c r="T324" s="81"/>
      <c r="U324" s="81"/>
      <c r="V324" s="81"/>
      <c r="W324" s="81"/>
    </row>
    <row r="325" spans="1:23" s="4" customFormat="1">
      <c r="B325" s="4">
        <v>241</v>
      </c>
      <c r="C325" s="44">
        <v>5705700</v>
      </c>
      <c r="D325" s="4" t="s">
        <v>145</v>
      </c>
      <c r="E325" s="94">
        <v>800</v>
      </c>
      <c r="F325" s="94">
        <v>800</v>
      </c>
      <c r="G325" s="234">
        <f t="shared" si="30"/>
        <v>0</v>
      </c>
      <c r="H325" s="94">
        <f t="shared" si="29"/>
        <v>0</v>
      </c>
      <c r="I325" s="94">
        <v>800</v>
      </c>
      <c r="J325" s="94">
        <v>800</v>
      </c>
      <c r="K325" s="94">
        <v>800</v>
      </c>
      <c r="L325" s="94"/>
      <c r="M325" s="81"/>
      <c r="N325" s="81"/>
      <c r="O325" s="81"/>
      <c r="P325" s="81"/>
      <c r="Q325" s="81"/>
      <c r="R325" s="81"/>
      <c r="S325" s="81"/>
      <c r="T325" s="81"/>
      <c r="U325" s="81"/>
      <c r="V325" s="81"/>
      <c r="W325" s="81"/>
    </row>
    <row r="326" spans="1:23" s="4" customFormat="1">
      <c r="B326" s="4">
        <v>241</v>
      </c>
      <c r="C326" s="44">
        <v>5705700</v>
      </c>
      <c r="D326" s="4" t="s">
        <v>118</v>
      </c>
      <c r="E326" s="94">
        <v>820</v>
      </c>
      <c r="F326" s="94">
        <v>820</v>
      </c>
      <c r="G326" s="234">
        <f t="shared" si="30"/>
        <v>0</v>
      </c>
      <c r="H326" s="94">
        <f t="shared" si="29"/>
        <v>0</v>
      </c>
      <c r="I326" s="94">
        <v>820</v>
      </c>
      <c r="J326" s="94">
        <v>820</v>
      </c>
      <c r="K326" s="94">
        <v>820</v>
      </c>
      <c r="L326" s="94"/>
      <c r="M326" s="81"/>
      <c r="N326" s="81"/>
      <c r="O326" s="81"/>
      <c r="P326" s="81"/>
      <c r="Q326" s="81"/>
      <c r="R326" s="81"/>
      <c r="S326" s="81"/>
      <c r="T326" s="81"/>
      <c r="U326" s="81"/>
      <c r="V326" s="81"/>
      <c r="W326" s="81"/>
    </row>
    <row r="327" spans="1:23" s="4" customFormat="1">
      <c r="B327" s="4">
        <v>241</v>
      </c>
      <c r="C327" s="44"/>
      <c r="D327" s="4" t="s">
        <v>328</v>
      </c>
      <c r="E327" s="94">
        <v>0</v>
      </c>
      <c r="F327" s="94">
        <v>0</v>
      </c>
      <c r="G327" s="234"/>
      <c r="H327" s="94">
        <f t="shared" si="29"/>
        <v>0</v>
      </c>
      <c r="I327" s="94">
        <v>0</v>
      </c>
      <c r="J327" s="94">
        <v>0</v>
      </c>
      <c r="K327" s="94">
        <v>0</v>
      </c>
      <c r="L327" s="94"/>
      <c r="M327" s="81"/>
      <c r="N327" s="81"/>
      <c r="O327" s="81"/>
      <c r="P327" s="81"/>
      <c r="Q327" s="81"/>
      <c r="R327" s="81"/>
      <c r="S327" s="81"/>
      <c r="T327" s="81"/>
      <c r="U327" s="81"/>
      <c r="V327" s="81"/>
      <c r="W327" s="81"/>
    </row>
    <row r="328" spans="1:23" s="6" customFormat="1">
      <c r="A328" s="4"/>
      <c r="B328" s="4">
        <v>241</v>
      </c>
      <c r="C328" s="44">
        <v>5705700</v>
      </c>
      <c r="D328" s="4" t="s">
        <v>120</v>
      </c>
      <c r="E328" s="94">
        <v>170</v>
      </c>
      <c r="F328" s="94">
        <v>170</v>
      </c>
      <c r="G328" s="234">
        <f t="shared" si="30"/>
        <v>0</v>
      </c>
      <c r="H328" s="94">
        <f t="shared" si="29"/>
        <v>0</v>
      </c>
      <c r="I328" s="94">
        <v>170</v>
      </c>
      <c r="J328" s="94">
        <v>170</v>
      </c>
      <c r="K328" s="94">
        <v>170</v>
      </c>
      <c r="L328" s="94"/>
      <c r="M328" s="81"/>
      <c r="N328" s="81"/>
      <c r="O328" s="81"/>
      <c r="P328" s="81"/>
      <c r="Q328" s="81"/>
      <c r="R328" s="81"/>
      <c r="S328" s="81"/>
      <c r="T328" s="81"/>
      <c r="U328" s="81"/>
      <c r="V328" s="81"/>
      <c r="W328" s="81"/>
    </row>
    <row r="329" spans="1:23" s="4" customFormat="1">
      <c r="B329" s="4">
        <v>241</v>
      </c>
      <c r="C329" s="44"/>
      <c r="D329" s="4" t="s">
        <v>329</v>
      </c>
      <c r="E329" s="94">
        <v>1000</v>
      </c>
      <c r="F329" s="94">
        <v>1000</v>
      </c>
      <c r="G329" s="234">
        <f t="shared" si="30"/>
        <v>0</v>
      </c>
      <c r="H329" s="94">
        <f t="shared" si="29"/>
        <v>0</v>
      </c>
      <c r="I329" s="94">
        <v>1000</v>
      </c>
      <c r="J329" s="94">
        <v>1000</v>
      </c>
      <c r="K329" s="94">
        <v>1000</v>
      </c>
      <c r="L329" s="94"/>
      <c r="M329" s="81"/>
      <c r="N329" s="81"/>
      <c r="O329" s="81"/>
      <c r="P329" s="81"/>
      <c r="Q329" s="81"/>
      <c r="R329" s="81"/>
      <c r="S329" s="81"/>
      <c r="T329" s="81"/>
      <c r="U329" s="81"/>
      <c r="V329" s="81"/>
      <c r="W329" s="81"/>
    </row>
    <row r="330" spans="1:23" s="6" customFormat="1">
      <c r="A330" s="4"/>
      <c r="B330" s="4"/>
      <c r="C330" s="44"/>
      <c r="D330" s="4" t="s">
        <v>330</v>
      </c>
      <c r="E330" s="94"/>
      <c r="F330" s="94"/>
      <c r="G330" s="234"/>
      <c r="H330" s="94">
        <f t="shared" si="29"/>
        <v>37000</v>
      </c>
      <c r="I330" s="94">
        <v>37000</v>
      </c>
      <c r="J330" s="94">
        <v>37000</v>
      </c>
      <c r="K330" s="94">
        <v>37000</v>
      </c>
      <c r="L330" s="94"/>
      <c r="M330" s="81"/>
      <c r="N330" s="81"/>
      <c r="O330" s="81"/>
      <c r="P330" s="81"/>
      <c r="Q330" s="81"/>
      <c r="R330" s="81"/>
      <c r="S330" s="81"/>
      <c r="T330" s="81"/>
      <c r="U330" s="81"/>
      <c r="V330" s="81"/>
      <c r="W330" s="81"/>
    </row>
    <row r="331" spans="1:23" s="4" customFormat="1">
      <c r="A331" s="4" t="s">
        <v>228</v>
      </c>
      <c r="B331" s="6" t="s">
        <v>104</v>
      </c>
      <c r="C331" s="43" t="s">
        <v>331</v>
      </c>
      <c r="D331" s="6"/>
      <c r="E331" s="226">
        <f>SUM(E317:E330)</f>
        <v>51130</v>
      </c>
      <c r="F331" s="226">
        <f>SUM(F317:F330)</f>
        <v>55419.28</v>
      </c>
      <c r="G331" s="235">
        <f t="shared" si="30"/>
        <v>1.8303641697633481</v>
      </c>
      <c r="H331" s="226">
        <f t="shared" si="29"/>
        <v>93586.51999999999</v>
      </c>
      <c r="I331" s="226">
        <f>SUM(I317:I330)</f>
        <v>149005.79999999999</v>
      </c>
      <c r="J331" s="226">
        <f>SUM(J317:J330)</f>
        <v>149005.79999999999</v>
      </c>
      <c r="K331" s="226">
        <f>SUM(K317:K330)</f>
        <v>149005.79999999999</v>
      </c>
      <c r="L331" s="81"/>
      <c r="M331" s="81"/>
      <c r="N331" s="81"/>
      <c r="O331" s="81"/>
      <c r="P331" s="81"/>
      <c r="Q331" s="81"/>
      <c r="R331" s="81"/>
      <c r="S331" s="81"/>
      <c r="T331" s="81"/>
      <c r="U331" s="81"/>
      <c r="V331" s="81"/>
      <c r="W331" s="81"/>
    </row>
    <row r="332" spans="1:23" s="4" customFormat="1">
      <c r="C332" s="44"/>
      <c r="E332" s="80"/>
      <c r="F332" s="80"/>
      <c r="G332" s="80"/>
      <c r="H332" s="80"/>
      <c r="I332" s="80"/>
      <c r="J332" s="80"/>
      <c r="K332" s="80"/>
      <c r="L332" s="81"/>
      <c r="M332" s="81"/>
      <c r="N332" s="81"/>
      <c r="O332" s="81"/>
      <c r="P332" s="81"/>
      <c r="Q332" s="81"/>
      <c r="R332" s="81"/>
      <c r="S332" s="81"/>
      <c r="T332" s="81"/>
      <c r="U332" s="81"/>
      <c r="V332" s="81"/>
      <c r="W332" s="81"/>
    </row>
    <row r="333" spans="1:23" s="4" customFormat="1">
      <c r="B333" s="6">
        <v>299</v>
      </c>
      <c r="C333" s="43" t="s">
        <v>332</v>
      </c>
      <c r="D333" s="6"/>
      <c r="E333" s="225"/>
      <c r="F333" s="225"/>
      <c r="G333" s="225"/>
      <c r="H333" s="225">
        <f t="shared" si="29"/>
        <v>0</v>
      </c>
      <c r="I333" s="225"/>
      <c r="J333" s="225"/>
      <c r="K333" s="225"/>
      <c r="L333" s="95"/>
      <c r="M333" s="81"/>
      <c r="N333" s="81"/>
      <c r="O333" s="81"/>
      <c r="P333" s="81"/>
      <c r="Q333" s="81"/>
      <c r="R333" s="81"/>
      <c r="S333" s="81"/>
      <c r="T333" s="81"/>
      <c r="U333" s="81"/>
      <c r="V333" s="81"/>
      <c r="W333" s="81"/>
    </row>
    <row r="334" spans="1:23" s="4" customFormat="1">
      <c r="B334" s="4">
        <v>299</v>
      </c>
      <c r="C334" s="44">
        <v>5105110</v>
      </c>
      <c r="D334" s="4" t="s">
        <v>250</v>
      </c>
      <c r="E334" s="94">
        <v>312395</v>
      </c>
      <c r="F334" s="94">
        <v>321423</v>
      </c>
      <c r="G334" s="234">
        <f t="shared" si="30"/>
        <v>-0.19630915987771891</v>
      </c>
      <c r="H334" s="94">
        <f t="shared" ref="H334:H397" si="31">I334-F334</f>
        <v>-61326</v>
      </c>
      <c r="I334" s="256">
        <v>260097</v>
      </c>
      <c r="J334" s="256">
        <v>260097</v>
      </c>
      <c r="K334" s="256">
        <v>260097</v>
      </c>
      <c r="L334" s="95"/>
      <c r="M334" s="81"/>
      <c r="N334" s="81"/>
      <c r="O334" s="81"/>
      <c r="P334" s="81"/>
      <c r="Q334" s="81"/>
      <c r="R334" s="81"/>
      <c r="S334" s="81"/>
      <c r="T334" s="81"/>
      <c r="U334" s="81"/>
      <c r="V334" s="81"/>
      <c r="W334" s="81"/>
    </row>
    <row r="335" spans="1:23" s="4" customFormat="1">
      <c r="B335" s="4">
        <v>299</v>
      </c>
      <c r="C335" s="44">
        <v>5105110</v>
      </c>
      <c r="D335" s="4" t="s">
        <v>333</v>
      </c>
      <c r="E335" s="80">
        <v>26736</v>
      </c>
      <c r="F335" s="80">
        <v>27471</v>
      </c>
      <c r="G335" s="232">
        <f t="shared" si="30"/>
        <v>5.1353979652902455E-2</v>
      </c>
      <c r="H335" s="80">
        <f t="shared" si="31"/>
        <v>1373</v>
      </c>
      <c r="I335" s="256">
        <v>28844</v>
      </c>
      <c r="J335" s="256">
        <v>28844</v>
      </c>
      <c r="K335" s="256">
        <v>28844</v>
      </c>
      <c r="L335" s="95"/>
      <c r="M335" s="81"/>
      <c r="N335" s="81"/>
      <c r="O335" s="81"/>
      <c r="P335" s="81"/>
      <c r="Q335" s="81"/>
      <c r="R335" s="81"/>
      <c r="S335" s="81"/>
      <c r="T335" s="81"/>
      <c r="U335" s="81"/>
      <c r="V335" s="81"/>
      <c r="W335" s="81"/>
    </row>
    <row r="336" spans="1:23" s="4" customFormat="1">
      <c r="B336" s="4">
        <v>299</v>
      </c>
      <c r="C336" s="44">
        <v>5105110</v>
      </c>
      <c r="D336" s="4" t="s">
        <v>253</v>
      </c>
      <c r="E336" s="80">
        <v>26378</v>
      </c>
      <c r="F336" s="80">
        <v>27140</v>
      </c>
      <c r="G336" s="232">
        <f t="shared" si="30"/>
        <v>5.1444385472742438E-2</v>
      </c>
      <c r="H336" s="80">
        <f t="shared" si="31"/>
        <v>1357</v>
      </c>
      <c r="I336" s="256">
        <v>28497</v>
      </c>
      <c r="J336" s="256">
        <v>28497</v>
      </c>
      <c r="K336" s="256">
        <v>28497</v>
      </c>
      <c r="L336" s="95"/>
      <c r="M336" s="81"/>
      <c r="N336" s="81"/>
      <c r="O336" s="81"/>
      <c r="P336" s="81"/>
      <c r="Q336" s="81"/>
      <c r="R336" s="81"/>
      <c r="S336" s="81"/>
      <c r="T336" s="81"/>
      <c r="U336" s="81"/>
      <c r="V336" s="81"/>
      <c r="W336" s="81"/>
    </row>
    <row r="337" spans="1:23" s="73" customFormat="1">
      <c r="A337" s="4"/>
      <c r="B337" s="4">
        <v>299</v>
      </c>
      <c r="C337" s="44">
        <v>5105110</v>
      </c>
      <c r="D337" s="4" t="s">
        <v>251</v>
      </c>
      <c r="E337" s="80">
        <v>12330</v>
      </c>
      <c r="F337" s="80">
        <v>12689</v>
      </c>
      <c r="G337" s="232">
        <f t="shared" si="30"/>
        <v>5.1419302514193028E-2</v>
      </c>
      <c r="H337" s="80">
        <f t="shared" si="31"/>
        <v>634</v>
      </c>
      <c r="I337" s="256">
        <v>13323</v>
      </c>
      <c r="J337" s="256">
        <v>13323</v>
      </c>
      <c r="K337" s="256">
        <v>13323</v>
      </c>
      <c r="L337" s="95"/>
      <c r="M337" s="127"/>
      <c r="N337" s="127"/>
      <c r="O337" s="127"/>
      <c r="P337" s="127"/>
      <c r="Q337" s="127"/>
      <c r="R337" s="127"/>
      <c r="S337" s="127"/>
      <c r="T337" s="127"/>
      <c r="U337" s="127"/>
      <c r="V337" s="127"/>
      <c r="W337" s="127"/>
    </row>
    <row r="338" spans="1:23" s="73" customFormat="1">
      <c r="B338" s="4">
        <v>299</v>
      </c>
      <c r="C338" s="44">
        <v>5105110</v>
      </c>
      <c r="D338" s="4" t="s">
        <v>334</v>
      </c>
      <c r="E338" s="80"/>
      <c r="F338" s="80"/>
      <c r="G338" s="232"/>
      <c r="H338" s="80">
        <f t="shared" si="31"/>
        <v>0</v>
      </c>
      <c r="I338" s="256"/>
      <c r="J338" s="256"/>
      <c r="K338" s="256"/>
      <c r="L338" s="95"/>
      <c r="M338" s="127"/>
      <c r="N338" s="127"/>
      <c r="O338" s="127"/>
      <c r="P338" s="127"/>
      <c r="Q338" s="127"/>
      <c r="R338" s="127"/>
      <c r="S338" s="127"/>
      <c r="T338" s="127"/>
      <c r="U338" s="127"/>
      <c r="V338" s="127"/>
      <c r="W338" s="127"/>
    </row>
    <row r="339" spans="1:23" s="4" customFormat="1">
      <c r="A339" s="73"/>
      <c r="C339" s="44"/>
      <c r="D339" s="4" t="s">
        <v>335</v>
      </c>
      <c r="E339" s="80">
        <v>2949</v>
      </c>
      <c r="F339" s="80">
        <v>3096</v>
      </c>
      <c r="G339" s="232">
        <f t="shared" si="30"/>
        <v>5.222109189555782E-2</v>
      </c>
      <c r="H339" s="80">
        <f t="shared" si="31"/>
        <v>154</v>
      </c>
      <c r="I339" s="256">
        <v>3250</v>
      </c>
      <c r="J339" s="256">
        <v>3250</v>
      </c>
      <c r="K339" s="256">
        <v>3250</v>
      </c>
      <c r="L339" s="95"/>
      <c r="M339" s="81"/>
      <c r="N339" s="81"/>
      <c r="O339" s="81"/>
      <c r="P339" s="81"/>
      <c r="Q339" s="81"/>
      <c r="R339" s="81"/>
      <c r="S339" s="81"/>
      <c r="T339" s="81"/>
      <c r="U339" s="81"/>
      <c r="V339" s="81"/>
      <c r="W339" s="81"/>
    </row>
    <row r="340" spans="1:23" s="4" customFormat="1">
      <c r="B340" s="4">
        <v>299</v>
      </c>
      <c r="C340" s="44">
        <v>5105110</v>
      </c>
      <c r="D340" s="4" t="s">
        <v>336</v>
      </c>
      <c r="E340" s="80">
        <v>990</v>
      </c>
      <c r="F340" s="80">
        <v>1018</v>
      </c>
      <c r="G340" s="232">
        <f t="shared" ref="G340:G402" si="32">(I340-F340)/E340</f>
        <v>5.1515151515151514E-2</v>
      </c>
      <c r="H340" s="80">
        <f t="shared" si="31"/>
        <v>51</v>
      </c>
      <c r="I340" s="256">
        <v>1069</v>
      </c>
      <c r="J340" s="256">
        <v>1069</v>
      </c>
      <c r="K340" s="256">
        <v>1069</v>
      </c>
      <c r="L340" s="95"/>
      <c r="M340" s="81"/>
      <c r="N340" s="81"/>
      <c r="O340" s="81"/>
      <c r="P340" s="81"/>
      <c r="Q340" s="81"/>
      <c r="R340" s="81"/>
      <c r="S340" s="81"/>
      <c r="T340" s="81"/>
      <c r="U340" s="81"/>
      <c r="V340" s="81"/>
      <c r="W340" s="81"/>
    </row>
    <row r="341" spans="1:23" s="4" customFormat="1">
      <c r="B341" s="4">
        <v>299</v>
      </c>
      <c r="C341" s="44">
        <v>5105110</v>
      </c>
      <c r="D341" s="4" t="s">
        <v>259</v>
      </c>
      <c r="E341" s="80">
        <v>4000</v>
      </c>
      <c r="F341" s="80">
        <v>4000</v>
      </c>
      <c r="G341" s="232">
        <f t="shared" si="32"/>
        <v>0</v>
      </c>
      <c r="H341" s="80">
        <f t="shared" si="31"/>
        <v>0</v>
      </c>
      <c r="I341" s="256">
        <v>4000</v>
      </c>
      <c r="J341" s="256">
        <v>4000</v>
      </c>
      <c r="K341" s="256">
        <v>4000</v>
      </c>
      <c r="L341" s="95"/>
      <c r="M341" s="81"/>
      <c r="N341" s="81"/>
      <c r="O341" s="81"/>
      <c r="P341" s="81"/>
      <c r="Q341" s="81"/>
      <c r="R341" s="81"/>
      <c r="S341" s="81"/>
      <c r="T341" s="81"/>
      <c r="U341" s="81"/>
      <c r="V341" s="81"/>
      <c r="W341" s="81"/>
    </row>
    <row r="342" spans="1:23" s="4" customFormat="1">
      <c r="B342" s="4">
        <v>299</v>
      </c>
      <c r="C342" s="44">
        <v>5705166</v>
      </c>
      <c r="D342" s="4" t="s">
        <v>262</v>
      </c>
      <c r="E342" s="80">
        <v>3750</v>
      </c>
      <c r="F342" s="80">
        <v>3750</v>
      </c>
      <c r="G342" s="232">
        <f t="shared" si="32"/>
        <v>0</v>
      </c>
      <c r="H342" s="80">
        <f t="shared" si="31"/>
        <v>0</v>
      </c>
      <c r="I342">
        <v>3750</v>
      </c>
      <c r="J342">
        <v>3750</v>
      </c>
      <c r="K342">
        <v>3750</v>
      </c>
      <c r="L342" s="95"/>
      <c r="M342" s="81"/>
      <c r="N342" s="81"/>
      <c r="O342" s="81"/>
      <c r="P342" s="81"/>
      <c r="Q342" s="81"/>
      <c r="R342" s="81"/>
      <c r="S342" s="81"/>
      <c r="T342" s="81"/>
      <c r="U342" s="81"/>
      <c r="V342" s="81"/>
      <c r="W342" s="81"/>
    </row>
    <row r="343" spans="1:23" s="4" customFormat="1">
      <c r="B343" s="4">
        <v>299</v>
      </c>
      <c r="C343" s="44">
        <v>5705166</v>
      </c>
      <c r="D343" s="4" t="s">
        <v>269</v>
      </c>
      <c r="E343" s="80">
        <v>900</v>
      </c>
      <c r="F343" s="80">
        <v>900</v>
      </c>
      <c r="G343" s="232">
        <f t="shared" si="32"/>
        <v>0</v>
      </c>
      <c r="H343" s="80">
        <f t="shared" si="31"/>
        <v>0</v>
      </c>
      <c r="I343" s="256">
        <v>900</v>
      </c>
      <c r="J343" s="256">
        <v>900</v>
      </c>
      <c r="K343" s="256">
        <v>900</v>
      </c>
      <c r="L343" s="95"/>
      <c r="M343" s="81"/>
      <c r="N343" s="81"/>
      <c r="O343" s="81"/>
      <c r="P343" s="81"/>
      <c r="Q343" s="81"/>
      <c r="R343" s="81"/>
      <c r="S343" s="81"/>
      <c r="T343" s="81"/>
      <c r="U343" s="81"/>
      <c r="V343" s="81"/>
      <c r="W343" s="81"/>
    </row>
    <row r="344" spans="1:23" s="4" customFormat="1">
      <c r="B344" s="4">
        <v>299</v>
      </c>
      <c r="C344" s="44">
        <v>5705700</v>
      </c>
      <c r="D344" s="4" t="s">
        <v>270</v>
      </c>
      <c r="E344" s="80">
        <v>1920</v>
      </c>
      <c r="F344" s="80">
        <v>1920</v>
      </c>
      <c r="G344" s="232">
        <f t="shared" si="32"/>
        <v>0</v>
      </c>
      <c r="H344" s="80">
        <f t="shared" si="31"/>
        <v>0</v>
      </c>
      <c r="I344" s="256">
        <v>1920</v>
      </c>
      <c r="J344" s="256">
        <v>1920</v>
      </c>
      <c r="K344" s="256">
        <v>1920</v>
      </c>
      <c r="L344" s="95"/>
      <c r="M344" s="81"/>
      <c r="N344" s="81"/>
      <c r="O344" s="81"/>
      <c r="P344" s="81"/>
      <c r="Q344" s="81"/>
      <c r="R344" s="81"/>
      <c r="S344" s="81"/>
      <c r="T344" s="81"/>
      <c r="U344" s="81"/>
      <c r="V344" s="81"/>
      <c r="W344" s="81"/>
    </row>
    <row r="345" spans="1:23" s="4" customFormat="1">
      <c r="C345" s="44"/>
      <c r="D345" s="4" t="s">
        <v>145</v>
      </c>
      <c r="E345" s="94">
        <v>5000</v>
      </c>
      <c r="F345" s="94">
        <v>5000</v>
      </c>
      <c r="G345" s="234">
        <f t="shared" si="32"/>
        <v>0.03</v>
      </c>
      <c r="H345" s="94">
        <f t="shared" si="31"/>
        <v>150</v>
      </c>
      <c r="I345" s="256">
        <v>5150</v>
      </c>
      <c r="J345" s="256">
        <v>5150</v>
      </c>
      <c r="K345" s="256">
        <v>5150</v>
      </c>
      <c r="L345" s="95"/>
      <c r="M345" s="81"/>
      <c r="N345" s="81"/>
      <c r="O345" s="81"/>
      <c r="P345" s="81"/>
      <c r="Q345" s="81"/>
      <c r="R345" s="81"/>
      <c r="S345" s="81"/>
      <c r="T345" s="81"/>
      <c r="U345" s="81"/>
      <c r="V345" s="81"/>
      <c r="W345" s="81"/>
    </row>
    <row r="346" spans="1:23" s="4" customFormat="1">
      <c r="B346" s="4">
        <v>299</v>
      </c>
      <c r="C346" s="44">
        <v>5705700</v>
      </c>
      <c r="D346" s="4" t="s">
        <v>337</v>
      </c>
      <c r="E346" s="80">
        <v>6000</v>
      </c>
      <c r="F346" s="80">
        <v>6000</v>
      </c>
      <c r="G346" s="232">
        <f t="shared" si="32"/>
        <v>0.33333333333333331</v>
      </c>
      <c r="H346" s="80">
        <f t="shared" si="31"/>
        <v>2000</v>
      </c>
      <c r="I346" s="256">
        <v>8000</v>
      </c>
      <c r="J346" s="256">
        <v>8000</v>
      </c>
      <c r="K346" s="256">
        <v>8000</v>
      </c>
      <c r="L346" s="95"/>
      <c r="M346" s="81"/>
      <c r="N346" s="81"/>
      <c r="O346" s="81"/>
      <c r="P346" s="81"/>
      <c r="Q346" s="81"/>
      <c r="R346" s="81"/>
      <c r="S346" s="81"/>
      <c r="T346" s="81"/>
      <c r="U346" s="81"/>
      <c r="V346" s="81"/>
      <c r="W346" s="81"/>
    </row>
    <row r="347" spans="1:23" s="4" customFormat="1">
      <c r="B347" s="4">
        <v>299</v>
      </c>
      <c r="C347" s="44">
        <v>5705700</v>
      </c>
      <c r="D347" s="4" t="s">
        <v>118</v>
      </c>
      <c r="E347" s="80">
        <v>2560</v>
      </c>
      <c r="F347" s="80">
        <v>2560</v>
      </c>
      <c r="G347" s="232">
        <f t="shared" si="32"/>
        <v>2.9687499999999999E-2</v>
      </c>
      <c r="H347" s="80">
        <f t="shared" si="31"/>
        <v>76</v>
      </c>
      <c r="I347" s="256">
        <v>2636</v>
      </c>
      <c r="J347" s="256">
        <v>2636</v>
      </c>
      <c r="K347" s="256">
        <v>2636</v>
      </c>
      <c r="L347" s="95"/>
      <c r="M347" s="81"/>
      <c r="N347" s="81"/>
      <c r="O347" s="81"/>
      <c r="P347" s="81"/>
      <c r="Q347" s="81"/>
      <c r="R347" s="81"/>
      <c r="S347" s="81"/>
      <c r="T347" s="81"/>
      <c r="U347" s="81"/>
      <c r="V347" s="81"/>
      <c r="W347" s="81"/>
    </row>
    <row r="348" spans="1:23" s="6" customFormat="1">
      <c r="A348" s="4"/>
      <c r="B348" s="4">
        <v>299</v>
      </c>
      <c r="C348" s="44"/>
      <c r="D348" s="4" t="s">
        <v>281</v>
      </c>
      <c r="E348" s="80">
        <v>2301</v>
      </c>
      <c r="F348" s="80">
        <v>2301</v>
      </c>
      <c r="G348" s="232">
        <f t="shared" si="32"/>
        <v>9.9956540634506735E-2</v>
      </c>
      <c r="H348" s="80">
        <f t="shared" si="31"/>
        <v>230</v>
      </c>
      <c r="I348" s="256">
        <v>2531</v>
      </c>
      <c r="J348" s="256">
        <v>2531</v>
      </c>
      <c r="K348" s="256">
        <v>2531</v>
      </c>
      <c r="L348" s="81"/>
      <c r="M348" s="81"/>
      <c r="N348" s="81"/>
      <c r="O348" s="81"/>
      <c r="P348" s="81"/>
      <c r="Q348" s="81"/>
      <c r="R348" s="81"/>
      <c r="S348" s="81"/>
      <c r="T348" s="81"/>
      <c r="U348" s="81"/>
      <c r="V348" s="81"/>
      <c r="W348" s="81"/>
    </row>
    <row r="349" spans="1:23" s="4" customFormat="1">
      <c r="B349" s="4">
        <v>299</v>
      </c>
      <c r="C349" s="44"/>
      <c r="D349" s="4" t="s">
        <v>120</v>
      </c>
      <c r="E349" s="81"/>
      <c r="F349" s="81"/>
      <c r="G349" s="238"/>
      <c r="H349" s="81">
        <f t="shared" si="31"/>
        <v>0</v>
      </c>
      <c r="I349" s="81"/>
      <c r="J349" s="81"/>
      <c r="K349" s="81"/>
      <c r="L349" s="95"/>
      <c r="M349" s="81"/>
      <c r="N349" s="81"/>
      <c r="O349" s="81"/>
      <c r="P349" s="81"/>
      <c r="Q349" s="81"/>
      <c r="R349" s="81"/>
      <c r="S349" s="81"/>
      <c r="T349" s="81"/>
      <c r="U349" s="81"/>
      <c r="V349" s="81"/>
      <c r="W349" s="81"/>
    </row>
    <row r="350" spans="1:23" s="6" customFormat="1">
      <c r="A350" s="4"/>
      <c r="B350" s="4"/>
      <c r="C350" s="44"/>
      <c r="D350" s="4" t="s">
        <v>149</v>
      </c>
      <c r="E350" s="80"/>
      <c r="F350" s="80"/>
      <c r="G350" s="232"/>
      <c r="H350" s="80">
        <f t="shared" si="31"/>
        <v>0</v>
      </c>
      <c r="I350" s="80"/>
      <c r="J350" s="80"/>
      <c r="K350" s="80"/>
      <c r="L350" s="95"/>
      <c r="M350" s="81"/>
      <c r="N350" s="81"/>
      <c r="O350" s="81"/>
      <c r="P350" s="81"/>
      <c r="Q350" s="81"/>
      <c r="R350" s="81"/>
      <c r="S350" s="81"/>
      <c r="T350" s="81"/>
      <c r="U350" s="81"/>
      <c r="V350" s="81"/>
      <c r="W350" s="81"/>
    </row>
    <row r="351" spans="1:23" s="4" customFormat="1">
      <c r="A351" s="4" t="s">
        <v>228</v>
      </c>
      <c r="B351" s="6" t="s">
        <v>104</v>
      </c>
      <c r="C351" s="43" t="s">
        <v>332</v>
      </c>
      <c r="D351" s="6"/>
      <c r="E351" s="226">
        <f>SUM(E334:E350)</f>
        <v>408209</v>
      </c>
      <c r="F351" s="226">
        <f>SUM(F334:F350)</f>
        <v>419268</v>
      </c>
      <c r="G351" s="235">
        <f t="shared" si="32"/>
        <v>-0.13547227033210929</v>
      </c>
      <c r="H351" s="226">
        <f t="shared" si="31"/>
        <v>-55301</v>
      </c>
      <c r="I351" s="226">
        <f>SUM(I334:I350)</f>
        <v>363967</v>
      </c>
      <c r="J351" s="226">
        <f>SUM(J334:J350)</f>
        <v>363967</v>
      </c>
      <c r="K351" s="226">
        <f>SUM(K334:K350)</f>
        <v>363967</v>
      </c>
      <c r="L351" s="81"/>
      <c r="M351" s="81"/>
      <c r="N351" s="81"/>
      <c r="O351" s="81"/>
      <c r="P351" s="81"/>
      <c r="Q351" s="81"/>
      <c r="R351" s="81"/>
      <c r="S351" s="81"/>
      <c r="T351" s="81"/>
      <c r="U351" s="81"/>
      <c r="V351" s="81"/>
      <c r="W351" s="81"/>
    </row>
    <row r="352" spans="1:23" s="6" customFormat="1">
      <c r="A352" s="4"/>
      <c r="B352" s="4"/>
      <c r="C352" s="44"/>
      <c r="D352" s="4"/>
      <c r="E352" s="4"/>
      <c r="F352" s="4"/>
      <c r="G352" s="4"/>
      <c r="H352" s="4">
        <f t="shared" si="31"/>
        <v>0</v>
      </c>
      <c r="I352" s="4"/>
      <c r="J352" s="4"/>
      <c r="K352" s="4"/>
      <c r="L352" s="81"/>
      <c r="M352" s="81"/>
      <c r="N352" s="81"/>
      <c r="O352" s="81"/>
      <c r="P352" s="81"/>
      <c r="Q352" s="81"/>
      <c r="R352" s="81"/>
      <c r="S352" s="81"/>
      <c r="T352" s="81"/>
      <c r="U352" s="81"/>
      <c r="V352" s="81"/>
      <c r="W352" s="81"/>
    </row>
    <row r="353" spans="1:23" s="4" customFormat="1">
      <c r="B353" s="6">
        <v>292</v>
      </c>
      <c r="C353" s="43" t="s">
        <v>338</v>
      </c>
      <c r="D353" s="6"/>
      <c r="E353" s="225"/>
      <c r="F353" s="225"/>
      <c r="G353" s="225"/>
      <c r="H353" s="225">
        <f t="shared" si="31"/>
        <v>0</v>
      </c>
      <c r="I353" s="225"/>
      <c r="J353" s="225"/>
      <c r="K353" s="225"/>
      <c r="L353" s="94"/>
      <c r="M353" s="81"/>
      <c r="N353" s="81"/>
      <c r="O353" s="81"/>
      <c r="P353" s="81"/>
      <c r="Q353" s="81"/>
      <c r="R353" s="81"/>
      <c r="S353" s="81"/>
      <c r="T353" s="81"/>
      <c r="U353" s="81"/>
      <c r="V353" s="81"/>
      <c r="W353" s="81"/>
    </row>
    <row r="354" spans="1:23" s="6" customFormat="1">
      <c r="A354" s="4"/>
      <c r="B354" s="4">
        <v>292</v>
      </c>
      <c r="C354" s="44">
        <v>5105115</v>
      </c>
      <c r="D354" s="4" t="s">
        <v>309</v>
      </c>
      <c r="E354" s="94">
        <v>21012</v>
      </c>
      <c r="F354" s="94">
        <v>21264.144</v>
      </c>
      <c r="G354" s="234">
        <f t="shared" si="32"/>
        <v>0.41575556824671617</v>
      </c>
      <c r="H354" s="94">
        <f t="shared" si="31"/>
        <v>8735.8559999999998</v>
      </c>
      <c r="I354" s="94">
        <v>30000</v>
      </c>
      <c r="J354" s="94">
        <v>30000</v>
      </c>
      <c r="K354" s="94">
        <v>30000</v>
      </c>
      <c r="L354" s="94"/>
      <c r="M354" s="81"/>
      <c r="N354" s="81"/>
      <c r="O354" s="81"/>
      <c r="P354" s="81"/>
      <c r="Q354" s="81"/>
      <c r="R354" s="81"/>
      <c r="S354" s="81"/>
      <c r="T354" s="81"/>
      <c r="U354" s="81"/>
      <c r="V354" s="81"/>
      <c r="W354" s="81"/>
    </row>
    <row r="355" spans="1:23" s="4" customFormat="1">
      <c r="B355" s="79">
        <v>292</v>
      </c>
      <c r="C355" s="44">
        <v>5105154</v>
      </c>
      <c r="D355" s="4" t="s">
        <v>339</v>
      </c>
      <c r="E355" s="94">
        <v>3978</v>
      </c>
      <c r="F355" s="94">
        <v>3978</v>
      </c>
      <c r="G355" s="234">
        <f t="shared" si="32"/>
        <v>-1</v>
      </c>
      <c r="H355" s="94">
        <f t="shared" si="31"/>
        <v>-3978</v>
      </c>
      <c r="I355" s="94">
        <v>0</v>
      </c>
      <c r="J355" s="94">
        <v>0</v>
      </c>
      <c r="K355" s="94">
        <v>0</v>
      </c>
      <c r="L355" s="94"/>
      <c r="M355" s="81"/>
      <c r="N355" s="81"/>
      <c r="O355" s="81"/>
      <c r="P355" s="81"/>
      <c r="Q355" s="81"/>
      <c r="R355" s="81"/>
      <c r="S355" s="81"/>
      <c r="T355" s="81"/>
      <c r="U355" s="81"/>
      <c r="V355" s="81"/>
      <c r="W355" s="81"/>
    </row>
    <row r="356" spans="1:23" s="4" customFormat="1">
      <c r="B356" s="4">
        <v>292</v>
      </c>
      <c r="C356" s="44">
        <v>5705700</v>
      </c>
      <c r="D356" s="4" t="s">
        <v>340</v>
      </c>
      <c r="E356" s="94">
        <v>306</v>
      </c>
      <c r="F356" s="94">
        <v>312.12</v>
      </c>
      <c r="G356" s="234">
        <f t="shared" si="32"/>
        <v>0</v>
      </c>
      <c r="H356" s="94">
        <f>I356-F356</f>
        <v>0</v>
      </c>
      <c r="I356" s="94">
        <v>312.12</v>
      </c>
      <c r="J356" s="94">
        <v>312.12</v>
      </c>
      <c r="K356" s="94">
        <v>312.12</v>
      </c>
      <c r="L356" s="94"/>
      <c r="M356" s="81"/>
      <c r="N356" s="81"/>
      <c r="O356" s="81"/>
      <c r="P356" s="81"/>
      <c r="Q356" s="81"/>
      <c r="R356" s="81"/>
      <c r="S356" s="81"/>
      <c r="T356" s="81"/>
      <c r="U356" s="81"/>
      <c r="V356" s="81"/>
      <c r="W356" s="81"/>
    </row>
    <row r="357" spans="1:23" s="4" customFormat="1">
      <c r="B357" s="4">
        <v>292</v>
      </c>
      <c r="C357" s="44">
        <v>5705700</v>
      </c>
      <c r="D357" s="4" t="s">
        <v>221</v>
      </c>
      <c r="E357" s="94">
        <v>428</v>
      </c>
      <c r="F357" s="94">
        <v>436.56</v>
      </c>
      <c r="G357" s="234">
        <f t="shared" si="32"/>
        <v>0</v>
      </c>
      <c r="H357" s="94">
        <f t="shared" si="31"/>
        <v>0</v>
      </c>
      <c r="I357" s="94">
        <v>436.56</v>
      </c>
      <c r="J357" s="94">
        <v>436.56</v>
      </c>
      <c r="K357" s="94">
        <v>436.56</v>
      </c>
      <c r="L357" s="94"/>
      <c r="M357" s="81"/>
      <c r="N357" s="81"/>
      <c r="O357" s="81"/>
      <c r="P357" s="81"/>
      <c r="Q357" s="81"/>
      <c r="R357" s="81"/>
      <c r="S357" s="81"/>
      <c r="T357" s="81"/>
      <c r="U357" s="81"/>
      <c r="V357" s="81"/>
      <c r="W357" s="81"/>
    </row>
    <row r="358" spans="1:23" s="4" customFormat="1">
      <c r="B358" s="4">
        <v>292</v>
      </c>
      <c r="C358" s="44">
        <v>5705700</v>
      </c>
      <c r="D358" s="4" t="s">
        <v>341</v>
      </c>
      <c r="E358" s="94">
        <v>510</v>
      </c>
      <c r="F358" s="94">
        <v>520.20000000000005</v>
      </c>
      <c r="G358" s="234">
        <f t="shared" si="32"/>
        <v>0</v>
      </c>
      <c r="H358" s="94">
        <f t="shared" si="31"/>
        <v>0</v>
      </c>
      <c r="I358" s="94">
        <v>520.20000000000005</v>
      </c>
      <c r="J358" s="94">
        <v>520.20000000000005</v>
      </c>
      <c r="K358" s="94">
        <v>520.20000000000005</v>
      </c>
      <c r="L358" s="94"/>
      <c r="M358" s="81"/>
      <c r="N358" s="81"/>
      <c r="O358" s="81"/>
      <c r="P358" s="81"/>
      <c r="Q358" s="81"/>
      <c r="R358" s="81"/>
      <c r="S358" s="81"/>
      <c r="T358" s="81"/>
      <c r="U358" s="81"/>
      <c r="V358" s="81"/>
      <c r="W358" s="81"/>
    </row>
    <row r="359" spans="1:23" s="6" customFormat="1">
      <c r="A359" s="4"/>
      <c r="B359" s="4">
        <v>292</v>
      </c>
      <c r="C359" s="44">
        <v>5705700</v>
      </c>
      <c r="D359" s="4" t="s">
        <v>145</v>
      </c>
      <c r="E359" s="94">
        <v>255</v>
      </c>
      <c r="F359" s="94">
        <v>260.10000000000002</v>
      </c>
      <c r="G359" s="234">
        <f t="shared" si="32"/>
        <v>0</v>
      </c>
      <c r="H359" s="94">
        <f t="shared" si="31"/>
        <v>0</v>
      </c>
      <c r="I359" s="94">
        <v>260.10000000000002</v>
      </c>
      <c r="J359" s="94">
        <v>260.10000000000002</v>
      </c>
      <c r="K359" s="94">
        <v>260.10000000000002</v>
      </c>
      <c r="L359" s="94"/>
      <c r="M359" s="81"/>
      <c r="N359" s="81"/>
      <c r="O359" s="81"/>
      <c r="P359" s="81"/>
      <c r="Q359" s="81"/>
      <c r="R359" s="81"/>
      <c r="S359" s="81"/>
      <c r="T359" s="81"/>
      <c r="U359" s="81"/>
      <c r="V359" s="81"/>
      <c r="W359" s="81"/>
    </row>
    <row r="360" spans="1:23" s="4" customFormat="1">
      <c r="B360" s="4">
        <v>292</v>
      </c>
      <c r="C360" s="44">
        <v>5705700</v>
      </c>
      <c r="D360" s="4" t="s">
        <v>342</v>
      </c>
      <c r="E360" s="94">
        <v>1020</v>
      </c>
      <c r="F360" s="94">
        <v>1040.4000000000001</v>
      </c>
      <c r="G360" s="234">
        <f t="shared" si="32"/>
        <v>0</v>
      </c>
      <c r="H360" s="94">
        <f t="shared" si="31"/>
        <v>0</v>
      </c>
      <c r="I360" s="94">
        <v>1040.4000000000001</v>
      </c>
      <c r="J360" s="94">
        <v>1040.4000000000001</v>
      </c>
      <c r="K360" s="94">
        <v>1040.4000000000001</v>
      </c>
      <c r="L360" s="94"/>
      <c r="M360" s="81"/>
      <c r="N360" s="81"/>
      <c r="O360" s="81"/>
      <c r="P360" s="81"/>
      <c r="Q360" s="81"/>
      <c r="R360" s="81"/>
      <c r="S360" s="81"/>
      <c r="T360" s="81"/>
      <c r="U360" s="81"/>
      <c r="V360" s="81"/>
      <c r="W360" s="81"/>
    </row>
    <row r="361" spans="1:23" s="6" customFormat="1">
      <c r="A361" s="4"/>
      <c r="B361" s="4">
        <v>292</v>
      </c>
      <c r="C361" s="44">
        <v>5705700</v>
      </c>
      <c r="D361" s="4" t="s">
        <v>118</v>
      </c>
      <c r="E361" s="94">
        <v>204</v>
      </c>
      <c r="F361" s="94">
        <v>208.08</v>
      </c>
      <c r="G361" s="234">
        <f t="shared" si="32"/>
        <v>0</v>
      </c>
      <c r="H361" s="94">
        <f t="shared" si="31"/>
        <v>0</v>
      </c>
      <c r="I361" s="94">
        <v>208.08</v>
      </c>
      <c r="J361" s="94">
        <v>208.08</v>
      </c>
      <c r="K361" s="94">
        <v>208.08</v>
      </c>
      <c r="L361" s="94"/>
      <c r="M361" s="81"/>
      <c r="N361" s="81"/>
      <c r="O361" s="81"/>
      <c r="P361" s="81"/>
      <c r="Q361" s="81"/>
      <c r="R361" s="81"/>
      <c r="S361" s="81"/>
      <c r="T361" s="81"/>
      <c r="U361" s="81"/>
      <c r="V361" s="81"/>
      <c r="W361" s="81"/>
    </row>
    <row r="362" spans="1:23" s="4" customFormat="1">
      <c r="B362" s="4">
        <v>292</v>
      </c>
      <c r="C362" s="44"/>
      <c r="D362" s="4" t="s">
        <v>120</v>
      </c>
      <c r="E362" s="80"/>
      <c r="F362" s="80"/>
      <c r="G362" s="232"/>
      <c r="H362" s="80"/>
      <c r="I362" s="80"/>
      <c r="J362" s="80"/>
      <c r="K362" s="80"/>
      <c r="L362" s="94"/>
      <c r="M362" s="81"/>
      <c r="N362" s="81"/>
      <c r="O362" s="81"/>
      <c r="P362" s="81"/>
      <c r="Q362" s="81"/>
      <c r="R362" s="81"/>
      <c r="S362" s="81"/>
      <c r="T362" s="81"/>
      <c r="U362" s="81"/>
      <c r="V362" s="81"/>
      <c r="W362" s="81"/>
    </row>
    <row r="363" spans="1:23" s="4" customFormat="1">
      <c r="B363" s="4">
        <v>292</v>
      </c>
      <c r="C363" s="44"/>
      <c r="D363" s="4" t="s">
        <v>149</v>
      </c>
      <c r="E363" s="80"/>
      <c r="F363" s="80"/>
      <c r="G363" s="232"/>
      <c r="H363" s="80"/>
      <c r="I363" s="80"/>
      <c r="J363" s="80"/>
      <c r="K363" s="80"/>
      <c r="L363" s="94"/>
      <c r="M363" s="81"/>
      <c r="N363" s="81"/>
      <c r="O363" s="81"/>
      <c r="P363" s="81"/>
      <c r="Q363" s="81"/>
      <c r="R363" s="81"/>
      <c r="S363" s="81"/>
      <c r="T363" s="81"/>
      <c r="U363" s="81"/>
      <c r="V363" s="81"/>
      <c r="W363" s="81"/>
    </row>
    <row r="364" spans="1:23" s="6" customFormat="1">
      <c r="A364" s="4"/>
      <c r="B364" s="4"/>
      <c r="C364" s="44"/>
      <c r="D364" s="4"/>
      <c r="E364" s="80"/>
      <c r="F364" s="80"/>
      <c r="G364" s="232"/>
      <c r="H364" s="80"/>
      <c r="I364" s="80"/>
      <c r="J364" s="80"/>
      <c r="K364" s="80"/>
      <c r="L364" s="94"/>
      <c r="M364" s="81"/>
      <c r="N364" s="81"/>
      <c r="O364" s="81"/>
      <c r="P364" s="81"/>
      <c r="Q364" s="81"/>
      <c r="R364" s="81"/>
      <c r="S364" s="81"/>
      <c r="T364" s="81"/>
      <c r="U364" s="81"/>
      <c r="V364" s="81"/>
      <c r="W364" s="81"/>
    </row>
    <row r="365" spans="1:23" s="4" customFormat="1">
      <c r="A365" s="4" t="s">
        <v>228</v>
      </c>
      <c r="B365" s="6" t="s">
        <v>104</v>
      </c>
      <c r="C365" s="43" t="s">
        <v>338</v>
      </c>
      <c r="D365" s="6"/>
      <c r="E365" s="225">
        <f>SUM(E354:E364)</f>
        <v>27713</v>
      </c>
      <c r="F365" s="225">
        <f>SUM(F354:F364)</f>
        <v>28019.604000000003</v>
      </c>
      <c r="G365" s="233">
        <f t="shared" si="32"/>
        <v>0.17168318117850814</v>
      </c>
      <c r="H365" s="225">
        <f t="shared" si="31"/>
        <v>4757.8559999999961</v>
      </c>
      <c r="I365" s="225">
        <f>SUM(I354:I364)</f>
        <v>32777.46</v>
      </c>
      <c r="J365" s="225">
        <f>SUM(J354:J364)</f>
        <v>32777.46</v>
      </c>
      <c r="K365" s="225">
        <f>SUM(K354:K364)</f>
        <v>32777.46</v>
      </c>
      <c r="L365" s="81"/>
      <c r="M365" s="81"/>
      <c r="N365" s="81"/>
      <c r="O365" s="81"/>
      <c r="P365" s="81"/>
      <c r="Q365" s="81"/>
      <c r="R365" s="81"/>
      <c r="S365" s="81"/>
      <c r="T365" s="81"/>
      <c r="U365" s="81"/>
      <c r="V365" s="81"/>
      <c r="W365" s="81"/>
    </row>
    <row r="366" spans="1:23" s="6" customFormat="1">
      <c r="A366" s="4"/>
      <c r="B366" s="44"/>
      <c r="C366" s="44"/>
      <c r="D366" s="4"/>
      <c r="E366" s="80"/>
      <c r="F366" s="80"/>
      <c r="G366" s="80"/>
      <c r="H366" s="80"/>
      <c r="I366" s="80"/>
      <c r="J366" s="80"/>
      <c r="K366" s="80"/>
      <c r="L366" s="81"/>
      <c r="M366" s="81"/>
      <c r="N366" s="81"/>
      <c r="O366" s="81"/>
      <c r="P366" s="81"/>
      <c r="Q366" s="81"/>
      <c r="R366" s="81"/>
      <c r="S366" s="81"/>
      <c r="T366" s="81"/>
      <c r="U366" s="81"/>
      <c r="V366" s="81"/>
      <c r="W366" s="81"/>
    </row>
    <row r="367" spans="1:23" s="4" customFormat="1">
      <c r="B367" s="6">
        <v>294</v>
      </c>
      <c r="C367" s="43" t="s">
        <v>343</v>
      </c>
      <c r="D367" s="6"/>
      <c r="E367" s="225"/>
      <c r="F367" s="225"/>
      <c r="G367" s="225"/>
      <c r="H367" s="225">
        <f t="shared" si="31"/>
        <v>0</v>
      </c>
      <c r="I367" s="225"/>
      <c r="J367" s="225"/>
      <c r="K367" s="225"/>
      <c r="L367" s="141"/>
      <c r="M367" s="81"/>
      <c r="N367" s="81"/>
      <c r="O367" s="81"/>
      <c r="P367" s="81"/>
      <c r="Q367" s="81"/>
      <c r="R367" s="81"/>
      <c r="S367" s="81"/>
      <c r="T367" s="81"/>
      <c r="U367" s="81"/>
      <c r="V367" s="81"/>
      <c r="W367" s="81"/>
    </row>
    <row r="368" spans="1:23" s="4" customFormat="1">
      <c r="B368" s="4">
        <v>294</v>
      </c>
      <c r="C368" s="44">
        <v>5105111</v>
      </c>
      <c r="D368" s="4" t="s">
        <v>344</v>
      </c>
      <c r="E368" s="210">
        <v>4000</v>
      </c>
      <c r="F368" s="210">
        <v>4120</v>
      </c>
      <c r="G368" s="239">
        <f t="shared" si="32"/>
        <v>0</v>
      </c>
      <c r="H368" s="210">
        <f t="shared" si="31"/>
        <v>0</v>
      </c>
      <c r="I368" s="210">
        <v>4120</v>
      </c>
      <c r="J368" s="210">
        <v>4120</v>
      </c>
      <c r="K368" s="210">
        <v>4120</v>
      </c>
      <c r="L368" s="141"/>
      <c r="M368" s="81"/>
      <c r="N368" s="81"/>
      <c r="O368" s="81"/>
      <c r="P368" s="81"/>
      <c r="Q368" s="81"/>
      <c r="R368" s="81"/>
      <c r="S368" s="81"/>
      <c r="T368" s="81"/>
      <c r="U368" s="81"/>
      <c r="V368" s="81"/>
      <c r="W368" s="81"/>
    </row>
    <row r="369" spans="1:23" s="4" customFormat="1">
      <c r="B369" s="4">
        <v>294</v>
      </c>
      <c r="C369" s="44">
        <v>5705700</v>
      </c>
      <c r="D369" s="4" t="s">
        <v>345</v>
      </c>
      <c r="E369" s="210">
        <v>21000</v>
      </c>
      <c r="F369" s="210">
        <v>21000</v>
      </c>
      <c r="G369" s="239">
        <f t="shared" si="32"/>
        <v>0</v>
      </c>
      <c r="H369" s="210">
        <f t="shared" si="31"/>
        <v>0</v>
      </c>
      <c r="I369" s="210">
        <v>21000</v>
      </c>
      <c r="J369" s="210">
        <v>21000</v>
      </c>
      <c r="K369" s="210">
        <v>21000</v>
      </c>
      <c r="L369" s="141"/>
      <c r="M369" s="81"/>
      <c r="N369" s="81"/>
      <c r="O369" s="81"/>
      <c r="P369" s="81"/>
      <c r="Q369" s="81"/>
      <c r="R369" s="81"/>
      <c r="S369" s="81"/>
      <c r="T369" s="81"/>
      <c r="U369" s="81"/>
      <c r="V369" s="81"/>
      <c r="W369" s="81"/>
    </row>
    <row r="370" spans="1:23" s="4" customFormat="1">
      <c r="B370" s="4">
        <v>294</v>
      </c>
      <c r="C370" s="44">
        <v>5705700</v>
      </c>
      <c r="D370" s="4" t="s">
        <v>346</v>
      </c>
      <c r="E370" s="210">
        <v>0</v>
      </c>
      <c r="F370" s="210">
        <v>0</v>
      </c>
      <c r="G370" s="239"/>
      <c r="H370" s="210">
        <f t="shared" si="31"/>
        <v>0</v>
      </c>
      <c r="I370" s="210">
        <v>0</v>
      </c>
      <c r="J370" s="210">
        <v>0</v>
      </c>
      <c r="K370" s="210">
        <v>0</v>
      </c>
      <c r="L370" s="141"/>
      <c r="M370" s="81"/>
      <c r="N370" s="81"/>
      <c r="O370" s="81"/>
      <c r="P370" s="81"/>
      <c r="Q370" s="81"/>
      <c r="R370" s="81"/>
      <c r="S370" s="81"/>
      <c r="T370" s="81"/>
      <c r="U370" s="81"/>
      <c r="V370" s="81"/>
      <c r="W370" s="81"/>
    </row>
    <row r="371" spans="1:23" s="4" customFormat="1">
      <c r="B371" s="4">
        <v>294</v>
      </c>
      <c r="C371" s="44">
        <v>5705700</v>
      </c>
      <c r="D371" s="4" t="s">
        <v>226</v>
      </c>
      <c r="E371" s="210">
        <v>0</v>
      </c>
      <c r="F371" s="210">
        <v>0</v>
      </c>
      <c r="G371" s="239"/>
      <c r="H371" s="210">
        <f t="shared" si="31"/>
        <v>0</v>
      </c>
      <c r="I371" s="210">
        <v>0</v>
      </c>
      <c r="J371" s="210">
        <v>0</v>
      </c>
      <c r="K371" s="210">
        <v>0</v>
      </c>
      <c r="L371" s="141"/>
      <c r="M371" s="81"/>
      <c r="N371" s="81"/>
      <c r="O371" s="81"/>
      <c r="P371" s="81"/>
      <c r="Q371" s="81"/>
      <c r="R371" s="81"/>
      <c r="S371" s="81"/>
      <c r="T371" s="81"/>
      <c r="U371" s="81"/>
      <c r="V371" s="81"/>
      <c r="W371" s="81"/>
    </row>
    <row r="372" spans="1:23" s="4" customFormat="1">
      <c r="C372" s="44"/>
      <c r="E372" s="210"/>
      <c r="F372" s="210"/>
      <c r="G372" s="239"/>
      <c r="H372" s="210">
        <f t="shared" si="31"/>
        <v>0</v>
      </c>
      <c r="I372" s="210"/>
      <c r="J372" s="210"/>
      <c r="K372" s="210"/>
      <c r="L372" s="141"/>
      <c r="M372" s="81"/>
      <c r="N372" s="81"/>
      <c r="O372" s="81"/>
      <c r="P372" s="81"/>
      <c r="Q372" s="81"/>
      <c r="R372" s="81"/>
      <c r="S372" s="81"/>
      <c r="T372" s="81"/>
      <c r="U372" s="81"/>
      <c r="V372" s="81"/>
      <c r="W372" s="81"/>
    </row>
    <row r="373" spans="1:23" s="4" customFormat="1">
      <c r="A373" s="4" t="s">
        <v>228</v>
      </c>
      <c r="B373" s="6" t="s">
        <v>104</v>
      </c>
      <c r="C373" s="43" t="s">
        <v>347</v>
      </c>
      <c r="D373" s="6"/>
      <c r="E373" s="240">
        <f>SUM(E368:E372)</f>
        <v>25000</v>
      </c>
      <c r="F373" s="240">
        <f>SUM(F368:F372)</f>
        <v>25120</v>
      </c>
      <c r="G373" s="241">
        <f t="shared" si="32"/>
        <v>0</v>
      </c>
      <c r="H373" s="240">
        <f t="shared" si="31"/>
        <v>0</v>
      </c>
      <c r="I373" s="240">
        <f>SUM(I368:I372)</f>
        <v>25120</v>
      </c>
      <c r="J373" s="240">
        <f>SUM(J368:J372)</f>
        <v>25120</v>
      </c>
      <c r="K373" s="240">
        <f>SUM(K368:K372)</f>
        <v>25120</v>
      </c>
      <c r="L373" s="81"/>
      <c r="M373" s="81"/>
      <c r="N373" s="81"/>
      <c r="O373" s="81"/>
      <c r="P373" s="81"/>
      <c r="Q373" s="81"/>
      <c r="R373" s="81"/>
      <c r="S373" s="81"/>
      <c r="T373" s="81"/>
      <c r="U373" s="81"/>
      <c r="V373" s="81"/>
      <c r="W373" s="81"/>
    </row>
    <row r="374" spans="1:23" s="4" customFormat="1">
      <c r="C374" s="44"/>
      <c r="E374" s="80"/>
      <c r="F374" s="80"/>
      <c r="G374" s="80"/>
      <c r="H374" s="80"/>
      <c r="I374" s="80"/>
      <c r="J374" s="80"/>
      <c r="K374" s="80"/>
      <c r="L374" s="81"/>
      <c r="M374" s="81"/>
      <c r="N374" s="81"/>
      <c r="O374" s="81"/>
      <c r="P374" s="81"/>
      <c r="Q374" s="81"/>
      <c r="R374" s="81"/>
      <c r="S374" s="81"/>
      <c r="T374" s="81"/>
      <c r="U374" s="81"/>
      <c r="V374" s="81"/>
      <c r="W374" s="81"/>
    </row>
    <row r="375" spans="1:23" s="4" customFormat="1">
      <c r="B375" s="6"/>
      <c r="C375" s="43" t="s">
        <v>348</v>
      </c>
      <c r="D375" s="6"/>
      <c r="E375" s="225"/>
      <c r="F375" s="225"/>
      <c r="G375" s="225"/>
      <c r="H375" s="225">
        <f t="shared" si="31"/>
        <v>0</v>
      </c>
      <c r="I375" s="225"/>
      <c r="J375" s="225"/>
      <c r="K375" s="225"/>
      <c r="L375" s="94"/>
      <c r="M375" s="81"/>
      <c r="N375" s="81"/>
      <c r="O375" s="81"/>
      <c r="P375" s="81"/>
      <c r="Q375" s="81"/>
      <c r="R375" s="81"/>
      <c r="S375" s="81"/>
      <c r="T375" s="81"/>
      <c r="U375" s="81"/>
      <c r="V375" s="81"/>
      <c r="W375" s="81"/>
    </row>
    <row r="376" spans="1:23" s="4" customFormat="1">
      <c r="B376" s="4">
        <v>940</v>
      </c>
      <c r="C376" s="44">
        <v>5205351</v>
      </c>
      <c r="D376" s="4" t="s">
        <v>349</v>
      </c>
      <c r="E376" s="94">
        <v>100000</v>
      </c>
      <c r="F376" s="94">
        <v>100000</v>
      </c>
      <c r="G376" s="234">
        <f t="shared" si="32"/>
        <v>0.13</v>
      </c>
      <c r="H376" s="94">
        <f t="shared" si="31"/>
        <v>13000</v>
      </c>
      <c r="I376" s="94">
        <v>113000</v>
      </c>
      <c r="J376" s="94">
        <v>113000</v>
      </c>
      <c r="K376" s="94">
        <v>113000</v>
      </c>
      <c r="L376" s="94"/>
      <c r="M376" s="81"/>
      <c r="N376" s="81"/>
      <c r="O376" s="81"/>
      <c r="P376" s="81"/>
      <c r="Q376" s="81"/>
      <c r="R376" s="81"/>
      <c r="S376" s="81"/>
      <c r="T376" s="81"/>
      <c r="U376" s="81"/>
      <c r="V376" s="81"/>
      <c r="W376" s="81"/>
    </row>
    <row r="377" spans="1:23" s="6" customFormat="1">
      <c r="A377" s="4"/>
      <c r="B377" s="4">
        <v>830</v>
      </c>
      <c r="C377" s="44">
        <v>5605623</v>
      </c>
      <c r="D377" s="4" t="s">
        <v>350</v>
      </c>
      <c r="E377" s="80">
        <v>1399</v>
      </c>
      <c r="F377" s="80">
        <v>1433.97</v>
      </c>
      <c r="G377" s="232">
        <f t="shared" si="32"/>
        <v>0</v>
      </c>
      <c r="H377" s="80">
        <f t="shared" si="31"/>
        <v>0</v>
      </c>
      <c r="I377" s="80">
        <v>1433.97</v>
      </c>
      <c r="J377" s="80">
        <v>1433.97</v>
      </c>
      <c r="K377" s="80">
        <v>1433.97</v>
      </c>
      <c r="L377" s="94"/>
      <c r="M377" s="81"/>
      <c r="N377" s="81"/>
      <c r="O377" s="81"/>
      <c r="P377" s="81"/>
      <c r="Q377" s="81"/>
      <c r="R377" s="81"/>
      <c r="S377" s="81"/>
      <c r="T377" s="81"/>
      <c r="U377" s="81"/>
      <c r="V377" s="81"/>
      <c r="W377" s="81"/>
    </row>
    <row r="378" spans="1:23" s="4" customFormat="1">
      <c r="C378" s="44"/>
      <c r="D378" s="4" t="s">
        <v>351</v>
      </c>
      <c r="E378" s="80"/>
      <c r="F378" s="80"/>
      <c r="G378" s="232"/>
      <c r="H378" s="80">
        <f t="shared" si="31"/>
        <v>0</v>
      </c>
      <c r="I378" s="80"/>
      <c r="J378" s="80"/>
      <c r="K378" s="80"/>
      <c r="L378" s="94"/>
      <c r="M378" s="81"/>
      <c r="N378" s="81"/>
      <c r="O378" s="81"/>
      <c r="P378" s="81"/>
      <c r="Q378" s="81"/>
      <c r="R378" s="81"/>
      <c r="S378" s="81"/>
      <c r="T378" s="81"/>
      <c r="U378" s="81"/>
      <c r="V378" s="81"/>
      <c r="W378" s="81"/>
    </row>
    <row r="379" spans="1:23" s="4" customFormat="1">
      <c r="C379" s="44"/>
      <c r="D379" s="4" t="s">
        <v>352</v>
      </c>
      <c r="E379" s="80">
        <v>1000</v>
      </c>
      <c r="F379" s="80">
        <v>25000</v>
      </c>
      <c r="G379" s="232">
        <f t="shared" si="32"/>
        <v>0</v>
      </c>
      <c r="H379" s="80">
        <f t="shared" si="31"/>
        <v>0</v>
      </c>
      <c r="I379" s="80">
        <v>25000</v>
      </c>
      <c r="J379" s="80">
        <v>25000</v>
      </c>
      <c r="K379" s="80">
        <v>25000</v>
      </c>
      <c r="L379" s="94"/>
      <c r="M379" s="81"/>
      <c r="N379" s="81"/>
      <c r="O379" s="81"/>
      <c r="P379" s="81"/>
      <c r="Q379" s="81"/>
      <c r="R379" s="81"/>
      <c r="S379" s="81"/>
      <c r="T379" s="81"/>
      <c r="U379" s="81"/>
      <c r="V379" s="81"/>
      <c r="W379" s="81"/>
    </row>
    <row r="380" spans="1:23" s="4" customFormat="1">
      <c r="C380" s="44"/>
      <c r="D380" s="4" t="s">
        <v>353</v>
      </c>
      <c r="E380" s="80">
        <v>3000</v>
      </c>
      <c r="F380" s="80">
        <v>3000</v>
      </c>
      <c r="G380" s="232">
        <f t="shared" si="32"/>
        <v>0</v>
      </c>
      <c r="H380" s="80">
        <f t="shared" si="31"/>
        <v>0</v>
      </c>
      <c r="I380" s="80">
        <v>3000</v>
      </c>
      <c r="J380" s="80">
        <v>3000</v>
      </c>
      <c r="K380" s="80">
        <v>3000</v>
      </c>
      <c r="L380" s="94"/>
      <c r="M380" s="81"/>
      <c r="N380" s="81"/>
      <c r="O380" s="81"/>
      <c r="P380" s="81"/>
      <c r="Q380" s="81"/>
      <c r="R380" s="81"/>
      <c r="S380" s="81"/>
      <c r="T380" s="81"/>
      <c r="U380" s="81"/>
      <c r="V380" s="81"/>
      <c r="W380" s="81"/>
    </row>
    <row r="381" spans="1:23" s="6" customFormat="1">
      <c r="A381" s="4"/>
      <c r="B381" s="4">
        <v>940</v>
      </c>
      <c r="C381" s="44">
        <v>5105110</v>
      </c>
      <c r="D381" s="4" t="s">
        <v>354</v>
      </c>
      <c r="E381" s="94">
        <v>20000</v>
      </c>
      <c r="F381" s="94">
        <v>20000</v>
      </c>
      <c r="G381" s="234">
        <f t="shared" si="32"/>
        <v>0</v>
      </c>
      <c r="H381" s="94">
        <f t="shared" si="31"/>
        <v>0</v>
      </c>
      <c r="I381" s="94">
        <v>20000</v>
      </c>
      <c r="J381" s="94">
        <v>20000</v>
      </c>
      <c r="K381" s="94">
        <v>20000</v>
      </c>
      <c r="L381" s="94"/>
      <c r="M381" s="81"/>
      <c r="N381" s="81"/>
      <c r="O381" s="81"/>
      <c r="P381" s="81"/>
      <c r="Q381" s="81"/>
      <c r="R381" s="81"/>
      <c r="S381" s="81"/>
      <c r="T381" s="81"/>
      <c r="U381" s="81"/>
      <c r="V381" s="81"/>
      <c r="W381" s="81"/>
    </row>
    <row r="382" spans="1:23" s="4" customFormat="1">
      <c r="A382" s="4" t="s">
        <v>103</v>
      </c>
      <c r="B382" s="6" t="s">
        <v>104</v>
      </c>
      <c r="C382" s="43" t="s">
        <v>355</v>
      </c>
      <c r="D382" s="6"/>
      <c r="E382" s="226">
        <f>SUM(E376:E381)</f>
        <v>125399</v>
      </c>
      <c r="F382" s="226">
        <f>SUM(F376:F381)</f>
        <v>149433.97</v>
      </c>
      <c r="G382" s="235">
        <f t="shared" si="32"/>
        <v>0.10366908827024139</v>
      </c>
      <c r="H382" s="226">
        <f t="shared" si="31"/>
        <v>13000</v>
      </c>
      <c r="I382" s="226">
        <f>SUM(I376:I381)</f>
        <v>162433.97</v>
      </c>
      <c r="J382" s="226">
        <f>SUM(J376:J381)</f>
        <v>162433.97</v>
      </c>
      <c r="K382" s="226">
        <f>SUM(K376:K381)</f>
        <v>162433.97</v>
      </c>
      <c r="L382" s="81"/>
      <c r="M382" s="81"/>
      <c r="N382" s="81"/>
      <c r="O382" s="81"/>
      <c r="P382" s="81"/>
      <c r="Q382" s="81"/>
      <c r="R382" s="81"/>
      <c r="S382" s="81"/>
      <c r="T382" s="81"/>
      <c r="U382" s="81"/>
      <c r="V382" s="81"/>
      <c r="W382" s="81"/>
    </row>
    <row r="383" spans="1:23" s="4" customFormat="1">
      <c r="C383" s="44"/>
      <c r="E383" s="80"/>
      <c r="F383" s="80"/>
      <c r="G383" s="80"/>
      <c r="H383" s="80"/>
      <c r="I383" s="80"/>
      <c r="J383" s="80"/>
      <c r="K383" s="80"/>
      <c r="L383" s="81"/>
      <c r="M383" s="81"/>
      <c r="N383" s="81"/>
      <c r="O383" s="81"/>
      <c r="P383" s="81"/>
      <c r="Q383" s="81"/>
      <c r="R383" s="81"/>
      <c r="S383" s="81"/>
      <c r="T383" s="81"/>
      <c r="U383" s="81"/>
      <c r="V383" s="81"/>
      <c r="W383" s="81"/>
    </row>
    <row r="384" spans="1:23" s="4" customFormat="1">
      <c r="B384" s="6"/>
      <c r="C384" s="43" t="s">
        <v>356</v>
      </c>
      <c r="D384" s="6"/>
      <c r="E384" s="225"/>
      <c r="F384" s="225"/>
      <c r="G384" s="225"/>
      <c r="H384" s="225">
        <f t="shared" si="31"/>
        <v>0</v>
      </c>
      <c r="I384" s="225"/>
      <c r="J384" s="225"/>
      <c r="K384" s="225"/>
      <c r="L384" s="147"/>
      <c r="M384" s="123"/>
      <c r="N384" s="81"/>
      <c r="O384" s="81"/>
      <c r="P384" s="81"/>
      <c r="Q384" s="81"/>
      <c r="R384" s="81"/>
      <c r="S384" s="81"/>
      <c r="T384" s="81"/>
      <c r="U384" s="81"/>
      <c r="V384" s="81"/>
      <c r="W384" s="81"/>
    </row>
    <row r="385" spans="1:23" s="4" customFormat="1">
      <c r="B385" s="5">
        <v>300</v>
      </c>
      <c r="C385" s="44">
        <v>5715700</v>
      </c>
      <c r="D385" s="4" t="s">
        <v>357</v>
      </c>
      <c r="E385" s="94">
        <f>8685618-6000+6006+30000</f>
        <v>8715624</v>
      </c>
      <c r="F385" s="94">
        <v>9180000</v>
      </c>
      <c r="G385" s="234">
        <f t="shared" ref="G385:G394" si="33">(I385-F385)/F385</f>
        <v>0.15539041394335512</v>
      </c>
      <c r="H385" s="94">
        <f t="shared" si="31"/>
        <v>1426484</v>
      </c>
      <c r="I385" s="94">
        <v>10606484</v>
      </c>
      <c r="J385" s="94">
        <v>10606484</v>
      </c>
      <c r="K385" s="94">
        <v>10606484</v>
      </c>
      <c r="L385" s="147"/>
      <c r="M385" s="81"/>
      <c r="N385" s="81"/>
      <c r="O385" s="81"/>
      <c r="P385" s="81"/>
      <c r="Q385" s="81"/>
      <c r="R385" s="81"/>
      <c r="S385" s="81"/>
      <c r="T385" s="81"/>
      <c r="U385" s="81"/>
      <c r="V385" s="81"/>
      <c r="W385" s="81"/>
    </row>
    <row r="386" spans="1:23" s="4" customFormat="1">
      <c r="B386" s="4">
        <v>300</v>
      </c>
      <c r="C386" s="44">
        <v>5715111</v>
      </c>
      <c r="D386" s="4" t="s">
        <v>358</v>
      </c>
      <c r="E386" s="94">
        <v>1200</v>
      </c>
      <c r="F386" s="94">
        <v>1200</v>
      </c>
      <c r="G386" s="234">
        <f t="shared" si="33"/>
        <v>0</v>
      </c>
      <c r="H386" s="94">
        <f t="shared" si="31"/>
        <v>0</v>
      </c>
      <c r="I386" s="94">
        <v>1200</v>
      </c>
      <c r="J386" s="94">
        <v>1200</v>
      </c>
      <c r="K386" s="94">
        <v>1200</v>
      </c>
      <c r="L386" s="175"/>
      <c r="N386" s="81"/>
      <c r="O386" s="81"/>
      <c r="P386" s="81"/>
      <c r="Q386" s="81"/>
      <c r="R386" s="81"/>
      <c r="S386" s="81"/>
      <c r="T386" s="81"/>
      <c r="U386" s="81"/>
      <c r="V386" s="81"/>
      <c r="W386" s="81"/>
    </row>
    <row r="387" spans="1:23" s="4" customFormat="1">
      <c r="B387" s="4">
        <v>300</v>
      </c>
      <c r="C387" s="44" t="s">
        <v>359</v>
      </c>
      <c r="D387" s="4" t="s">
        <v>360</v>
      </c>
      <c r="E387" s="94">
        <v>325310</v>
      </c>
      <c r="F387" s="94">
        <v>190702</v>
      </c>
      <c r="G387" s="234">
        <f t="shared" si="33"/>
        <v>0.28472695619343269</v>
      </c>
      <c r="H387" s="94">
        <f t="shared" si="31"/>
        <v>54298</v>
      </c>
      <c r="I387" s="94">
        <v>245000</v>
      </c>
      <c r="J387" s="94">
        <v>245000</v>
      </c>
      <c r="K387" s="94">
        <v>245000</v>
      </c>
      <c r="L387" s="81"/>
      <c r="M387" s="81"/>
      <c r="N387" s="81"/>
      <c r="O387" s="81"/>
      <c r="P387" s="81"/>
      <c r="Q387" s="81"/>
      <c r="R387" s="81"/>
      <c r="S387" s="81"/>
      <c r="T387" s="81"/>
      <c r="U387" s="81"/>
      <c r="V387" s="81"/>
      <c r="W387" s="81"/>
    </row>
    <row r="388" spans="1:23" s="4" customFormat="1">
      <c r="B388" s="4">
        <v>300</v>
      </c>
      <c r="C388" s="44">
        <v>5715200</v>
      </c>
      <c r="D388" s="4" t="s">
        <v>361</v>
      </c>
      <c r="E388" s="94">
        <f>967340*1.0721</f>
        <v>1037085.214</v>
      </c>
      <c r="F388" s="94">
        <v>1067361.5</v>
      </c>
      <c r="G388" s="234">
        <f t="shared" si="33"/>
        <v>5.3009687907986186E-2</v>
      </c>
      <c r="H388" s="94">
        <f t="shared" si="31"/>
        <v>56580.5</v>
      </c>
      <c r="I388" s="94">
        <f>1123942</f>
        <v>1123942</v>
      </c>
      <c r="J388" s="94">
        <f>1123942</f>
        <v>1123942</v>
      </c>
      <c r="K388" s="94">
        <f>1123942</f>
        <v>1123942</v>
      </c>
      <c r="L388" s="175"/>
      <c r="M388" s="123"/>
      <c r="N388" s="81"/>
      <c r="O388" s="81"/>
      <c r="P388" s="81"/>
      <c r="Q388" s="81"/>
      <c r="R388" s="81"/>
      <c r="S388" s="81"/>
      <c r="T388" s="81"/>
      <c r="U388" s="81"/>
      <c r="V388" s="81"/>
      <c r="W388" s="81"/>
    </row>
    <row r="389" spans="1:23" s="4" customFormat="1">
      <c r="B389" s="4">
        <v>300</v>
      </c>
      <c r="C389" s="44">
        <v>5715745</v>
      </c>
      <c r="D389" s="4" t="s">
        <v>362</v>
      </c>
      <c r="E389" s="227">
        <f>452300+125524+35000+2500+10000+3500+7500</f>
        <v>636324</v>
      </c>
      <c r="F389" s="227">
        <v>770411</v>
      </c>
      <c r="G389" s="234">
        <f t="shared" si="33"/>
        <v>4.9999286095343917E-2</v>
      </c>
      <c r="H389" s="227">
        <f t="shared" si="31"/>
        <v>38520</v>
      </c>
      <c r="I389" s="227">
        <v>808931</v>
      </c>
      <c r="J389" s="227">
        <v>808931</v>
      </c>
      <c r="K389" s="227">
        <v>808931</v>
      </c>
      <c r="L389" s="147">
        <f>I388+I208</f>
        <v>1702601</v>
      </c>
      <c r="M389" s="81"/>
      <c r="N389" s="81"/>
      <c r="O389" s="81"/>
      <c r="P389" s="81"/>
      <c r="Q389" s="81"/>
      <c r="R389" s="81"/>
      <c r="S389" s="81"/>
      <c r="T389" s="81"/>
      <c r="U389" s="81"/>
      <c r="V389" s="81"/>
      <c r="W389" s="81"/>
    </row>
    <row r="390" spans="1:23" s="4" customFormat="1">
      <c r="B390" s="4">
        <v>300</v>
      </c>
      <c r="C390" s="112">
        <v>5715740</v>
      </c>
      <c r="D390" s="4" t="s">
        <v>363</v>
      </c>
      <c r="E390" s="94">
        <v>47307</v>
      </c>
      <c r="F390" s="94">
        <v>51000</v>
      </c>
      <c r="G390" s="234">
        <f t="shared" si="33"/>
        <v>0</v>
      </c>
      <c r="H390" s="94">
        <f t="shared" si="31"/>
        <v>0</v>
      </c>
      <c r="I390" s="94">
        <v>51000</v>
      </c>
      <c r="J390" s="94">
        <v>51000</v>
      </c>
      <c r="K390" s="94">
        <v>51000</v>
      </c>
      <c r="L390" s="147"/>
      <c r="N390" s="81"/>
      <c r="O390" s="81"/>
      <c r="P390" s="81"/>
      <c r="Q390" s="81"/>
      <c r="R390" s="81"/>
      <c r="S390" s="81"/>
      <c r="T390" s="81"/>
      <c r="U390" s="81"/>
      <c r="V390" s="81"/>
      <c r="W390" s="81"/>
    </row>
    <row r="391" spans="1:23" s="4" customFormat="1">
      <c r="B391" s="4">
        <v>300</v>
      </c>
      <c r="C391" s="112">
        <v>5715740</v>
      </c>
      <c r="D391" s="4" t="s">
        <v>364</v>
      </c>
      <c r="E391" s="94">
        <v>82732</v>
      </c>
      <c r="F391" s="94">
        <v>82732</v>
      </c>
      <c r="G391" s="234">
        <f t="shared" si="33"/>
        <v>0</v>
      </c>
      <c r="H391" s="94">
        <f t="shared" si="31"/>
        <v>0</v>
      </c>
      <c r="I391" s="94">
        <v>82732</v>
      </c>
      <c r="J391" s="94">
        <v>82732</v>
      </c>
      <c r="K391" s="94">
        <v>82732</v>
      </c>
      <c r="L391" s="60">
        <f>SUM(I390,I198)</f>
        <v>53000</v>
      </c>
      <c r="M391" s="81"/>
      <c r="N391" s="81"/>
      <c r="O391" s="81"/>
      <c r="P391" s="81"/>
      <c r="Q391" s="81"/>
      <c r="R391" s="81"/>
      <c r="S391" s="81"/>
      <c r="T391" s="81"/>
      <c r="U391" s="81"/>
      <c r="V391" s="81"/>
      <c r="W391" s="81"/>
    </row>
    <row r="392" spans="1:23" s="4" customFormat="1">
      <c r="B392" s="4">
        <v>300</v>
      </c>
      <c r="C392" s="44">
        <v>5605600</v>
      </c>
      <c r="D392" s="4" t="s">
        <v>365</v>
      </c>
      <c r="E392" s="94">
        <f>2826598-E395</f>
        <v>2747558</v>
      </c>
      <c r="F392" s="94">
        <v>2919255</v>
      </c>
      <c r="G392" s="234">
        <f t="shared" si="33"/>
        <v>4.5403022346454831E-2</v>
      </c>
      <c r="H392" s="94">
        <f t="shared" si="31"/>
        <v>132543</v>
      </c>
      <c r="I392" s="94">
        <f>3051798</f>
        <v>3051798</v>
      </c>
      <c r="J392" s="94">
        <f>3051798</f>
        <v>3051798</v>
      </c>
      <c r="K392" s="94">
        <f>3051798</f>
        <v>3051798</v>
      </c>
      <c r="L392" s="123">
        <f>SUM(I391,I215)</f>
        <v>193247</v>
      </c>
      <c r="M392" s="81"/>
      <c r="N392" s="81"/>
      <c r="O392" s="81"/>
      <c r="P392" s="81"/>
      <c r="Q392" s="81"/>
      <c r="R392" s="81"/>
      <c r="S392" s="81"/>
      <c r="T392" s="81"/>
      <c r="U392" s="81"/>
      <c r="V392" s="81"/>
      <c r="W392" s="81"/>
    </row>
    <row r="393" spans="1:23" s="4" customFormat="1">
      <c r="B393" s="4">
        <v>301</v>
      </c>
      <c r="C393" s="44">
        <v>5605600</v>
      </c>
      <c r="D393" s="4" t="s">
        <v>366</v>
      </c>
      <c r="E393" s="94">
        <f>1272986+59214</f>
        <v>1332200</v>
      </c>
      <c r="F393" s="94">
        <v>1353780</v>
      </c>
      <c r="G393" s="234">
        <f t="shared" si="33"/>
        <v>3.080411883762502E-2</v>
      </c>
      <c r="H393" s="94">
        <f t="shared" si="31"/>
        <v>41702</v>
      </c>
      <c r="I393" s="94">
        <f>1395482</f>
        <v>1395482</v>
      </c>
      <c r="J393" s="94">
        <f>1395482</f>
        <v>1395482</v>
      </c>
      <c r="K393" s="94">
        <f>1395482</f>
        <v>1395482</v>
      </c>
      <c r="L393" s="81"/>
      <c r="M393" s="81"/>
      <c r="N393" s="81"/>
      <c r="O393" s="81"/>
      <c r="P393" s="81"/>
      <c r="Q393" s="81"/>
      <c r="R393" s="81"/>
      <c r="S393" s="81"/>
      <c r="T393" s="81"/>
      <c r="U393" s="81"/>
      <c r="V393" s="81"/>
      <c r="W393" s="81"/>
    </row>
    <row r="394" spans="1:23" s="4" customFormat="1">
      <c r="B394" s="4">
        <v>308</v>
      </c>
      <c r="C394" s="44">
        <v>5605600</v>
      </c>
      <c r="D394" s="4" t="s">
        <v>367</v>
      </c>
      <c r="E394" s="94">
        <f>56238+83715.24</f>
        <v>139953.24</v>
      </c>
      <c r="F394" s="94">
        <v>176743.22</v>
      </c>
      <c r="G394" s="234">
        <f t="shared" si="33"/>
        <v>0.28282148531638157</v>
      </c>
      <c r="H394" s="94">
        <f t="shared" si="31"/>
        <v>49986.78</v>
      </c>
      <c r="I394" s="94">
        <v>226730</v>
      </c>
      <c r="J394" s="94">
        <v>226730</v>
      </c>
      <c r="K394" s="94">
        <v>226730</v>
      </c>
      <c r="L394" s="123"/>
      <c r="M394" s="81"/>
      <c r="N394" s="81"/>
      <c r="O394" s="81"/>
      <c r="P394" s="81"/>
      <c r="Q394" s="81"/>
      <c r="R394" s="81"/>
      <c r="S394" s="81"/>
      <c r="T394" s="81"/>
      <c r="U394" s="81"/>
      <c r="V394" s="81"/>
      <c r="W394" s="81"/>
    </row>
    <row r="395" spans="1:23" s="4" customFormat="1">
      <c r="B395" s="4">
        <v>309</v>
      </c>
      <c r="C395" s="44" t="s">
        <v>359</v>
      </c>
      <c r="D395" s="4" t="s">
        <v>368</v>
      </c>
      <c r="E395" s="94">
        <v>79040</v>
      </c>
      <c r="F395" s="94">
        <v>94644</v>
      </c>
      <c r="G395" s="234">
        <f>(I395-F395)/F395</f>
        <v>-0.24651324965132496</v>
      </c>
      <c r="H395" s="94">
        <f t="shared" si="31"/>
        <v>-23331</v>
      </c>
      <c r="I395" s="94">
        <f>71313</f>
        <v>71313</v>
      </c>
      <c r="J395" s="94">
        <f>71313</f>
        <v>71313</v>
      </c>
      <c r="K395" s="94">
        <f>71313</f>
        <v>71313</v>
      </c>
      <c r="L395" s="261"/>
      <c r="M395" s="81"/>
      <c r="N395" s="81"/>
      <c r="O395" s="81"/>
      <c r="P395" s="81"/>
      <c r="Q395" s="81"/>
      <c r="R395" s="81"/>
      <c r="S395" s="81"/>
      <c r="T395" s="81"/>
      <c r="U395" s="81"/>
      <c r="V395" s="81"/>
      <c r="W395" s="81"/>
    </row>
    <row r="396" spans="1:23" s="4" customFormat="1">
      <c r="C396" s="44"/>
      <c r="D396" s="4" t="s">
        <v>369</v>
      </c>
      <c r="E396" s="80"/>
      <c r="F396" s="80"/>
      <c r="G396" s="232"/>
      <c r="H396" s="80">
        <f t="shared" si="31"/>
        <v>0</v>
      </c>
      <c r="I396" s="80"/>
      <c r="J396" s="80"/>
      <c r="K396" s="80"/>
      <c r="L396" s="123"/>
      <c r="M396" s="81"/>
      <c r="N396" s="81"/>
      <c r="O396" s="81"/>
      <c r="P396" s="81"/>
      <c r="Q396" s="81"/>
      <c r="R396" s="81"/>
      <c r="S396" s="81"/>
      <c r="T396" s="81"/>
      <c r="U396" s="81"/>
      <c r="V396" s="81"/>
      <c r="W396" s="81"/>
    </row>
    <row r="397" spans="1:23" s="4" customFormat="1">
      <c r="A397" s="4" t="s">
        <v>370</v>
      </c>
      <c r="B397" s="6" t="s">
        <v>104</v>
      </c>
      <c r="C397" s="43" t="s">
        <v>371</v>
      </c>
      <c r="D397" s="6"/>
      <c r="E397" s="225">
        <f>SUM(E385:E396)</f>
        <v>15144333.454</v>
      </c>
      <c r="F397" s="225">
        <f>SUM(F385:F396)</f>
        <v>15887828.720000001</v>
      </c>
      <c r="G397" s="222">
        <f>(I397-F397)/F397</f>
        <v>0.11183298305345775</v>
      </c>
      <c r="H397" s="225">
        <f t="shared" si="31"/>
        <v>1776783.2799999993</v>
      </c>
      <c r="I397" s="225">
        <f>SUM(I385:I396)</f>
        <v>17664612</v>
      </c>
      <c r="J397" s="225">
        <f>SUM(J385:J396)</f>
        <v>17664612</v>
      </c>
      <c r="K397" s="225">
        <f>SUM(K385:K396)</f>
        <v>17664612</v>
      </c>
      <c r="L397" s="81"/>
      <c r="M397" s="81"/>
      <c r="N397" s="81"/>
      <c r="O397" s="81"/>
      <c r="P397" s="81"/>
      <c r="Q397" s="81"/>
      <c r="R397" s="81"/>
      <c r="S397" s="81"/>
      <c r="T397" s="81"/>
      <c r="U397" s="81"/>
      <c r="V397" s="81"/>
      <c r="W397" s="81"/>
    </row>
    <row r="398" spans="1:23" s="4" customFormat="1">
      <c r="C398" s="44"/>
      <c r="E398" s="80"/>
      <c r="F398" s="80"/>
      <c r="G398" s="80"/>
      <c r="H398" s="80"/>
      <c r="I398" s="80"/>
      <c r="J398" s="80"/>
      <c r="K398" s="80"/>
      <c r="L398" s="81"/>
      <c r="M398" s="81"/>
      <c r="N398" s="81"/>
      <c r="O398" s="81"/>
      <c r="P398" s="81"/>
      <c r="Q398" s="81"/>
      <c r="R398" s="81"/>
      <c r="S398" s="81"/>
      <c r="T398" s="81"/>
      <c r="U398" s="81"/>
      <c r="V398" s="81"/>
      <c r="W398" s="81"/>
    </row>
    <row r="399" spans="1:23" s="4" customFormat="1">
      <c r="B399" s="6">
        <v>420</v>
      </c>
      <c r="C399" s="43" t="s">
        <v>372</v>
      </c>
      <c r="D399" s="6"/>
      <c r="E399" s="225"/>
      <c r="F399" s="225"/>
      <c r="G399" s="225"/>
      <c r="H399" s="225">
        <f t="shared" ref="H399:H461" si="34">I399-F399</f>
        <v>0</v>
      </c>
      <c r="I399" s="225"/>
      <c r="J399" s="225"/>
      <c r="K399" s="225"/>
      <c r="L399" s="141">
        <f>SUM(I400:I403)</f>
        <v>740530</v>
      </c>
      <c r="M399" s="81"/>
      <c r="N399" s="81"/>
      <c r="O399" s="81"/>
      <c r="P399" s="81"/>
      <c r="Q399" s="81"/>
      <c r="R399" s="81"/>
      <c r="S399" s="81"/>
      <c r="T399" s="81"/>
      <c r="U399" s="81"/>
      <c r="V399" s="81"/>
      <c r="W399" s="81"/>
    </row>
    <row r="400" spans="1:23" s="4" customFormat="1">
      <c r="B400" s="4">
        <v>420</v>
      </c>
      <c r="C400" s="44">
        <v>5105111</v>
      </c>
      <c r="D400" s="4" t="s">
        <v>309</v>
      </c>
      <c r="E400" s="210">
        <v>81000</v>
      </c>
      <c r="F400" s="210">
        <v>85000</v>
      </c>
      <c r="G400" s="239">
        <f t="shared" si="32"/>
        <v>5.2469135802469133E-2</v>
      </c>
      <c r="H400" s="210">
        <f t="shared" si="34"/>
        <v>4250</v>
      </c>
      <c r="I400" s="210">
        <v>89250</v>
      </c>
      <c r="J400" s="210">
        <v>89250</v>
      </c>
      <c r="K400" s="210">
        <v>89250</v>
      </c>
      <c r="L400" s="141"/>
      <c r="M400" s="81"/>
      <c r="N400" s="81"/>
      <c r="O400" s="81"/>
      <c r="P400" s="81"/>
      <c r="Q400" s="81"/>
      <c r="R400" s="81"/>
      <c r="S400" s="81"/>
      <c r="T400" s="81"/>
      <c r="U400" s="81"/>
      <c r="V400" s="81"/>
      <c r="W400" s="81"/>
    </row>
    <row r="401" spans="1:23" s="4" customFormat="1">
      <c r="B401" s="4">
        <v>420</v>
      </c>
      <c r="C401" s="44"/>
      <c r="D401" s="4" t="s">
        <v>373</v>
      </c>
      <c r="E401" s="210">
        <v>4000</v>
      </c>
      <c r="F401" s="210">
        <v>4000</v>
      </c>
      <c r="G401" s="239">
        <f t="shared" si="32"/>
        <v>0.05</v>
      </c>
      <c r="H401" s="210">
        <f t="shared" si="34"/>
        <v>200</v>
      </c>
      <c r="I401" s="210">
        <v>4200</v>
      </c>
      <c r="J401" s="210">
        <v>4200</v>
      </c>
      <c r="K401" s="210">
        <v>4200</v>
      </c>
      <c r="L401" s="141"/>
      <c r="M401" s="81"/>
      <c r="N401" s="81"/>
      <c r="O401" s="81"/>
      <c r="P401" s="81"/>
      <c r="Q401" s="81"/>
      <c r="R401" s="81"/>
      <c r="S401" s="81"/>
      <c r="T401" s="81"/>
      <c r="U401" s="81"/>
      <c r="V401" s="81"/>
      <c r="W401" s="81"/>
    </row>
    <row r="402" spans="1:23" s="4" customFormat="1">
      <c r="B402" s="4">
        <v>420</v>
      </c>
      <c r="C402" s="44">
        <v>5105110</v>
      </c>
      <c r="D402" s="4" t="s">
        <v>250</v>
      </c>
      <c r="E402" s="210">
        <v>560000</v>
      </c>
      <c r="F402" s="210">
        <v>606790</v>
      </c>
      <c r="G402" s="239">
        <f t="shared" si="32"/>
        <v>7.1946428571428578E-2</v>
      </c>
      <c r="H402" s="210">
        <f t="shared" si="34"/>
        <v>40290</v>
      </c>
      <c r="I402" s="210">
        <v>647080</v>
      </c>
      <c r="J402" s="210">
        <v>647080</v>
      </c>
      <c r="K402" s="210">
        <v>647080</v>
      </c>
      <c r="L402" s="141"/>
      <c r="M402" s="81"/>
      <c r="N402" s="81"/>
      <c r="O402" s="81"/>
      <c r="P402" s="81"/>
      <c r="Q402" s="81"/>
      <c r="R402" s="81"/>
      <c r="S402" s="81"/>
      <c r="T402" s="81"/>
      <c r="U402" s="81"/>
      <c r="V402" s="81"/>
      <c r="W402" s="81"/>
    </row>
    <row r="403" spans="1:23" s="4" customFormat="1">
      <c r="B403" s="4">
        <v>420</v>
      </c>
      <c r="C403" s="44"/>
      <c r="D403" s="4" t="s">
        <v>374</v>
      </c>
      <c r="E403" s="210"/>
      <c r="F403" s="210"/>
      <c r="G403" s="239"/>
      <c r="H403" s="210">
        <f t="shared" si="34"/>
        <v>0</v>
      </c>
      <c r="I403" s="210"/>
      <c r="J403" s="210"/>
      <c r="K403" s="210"/>
      <c r="L403" s="141"/>
      <c r="M403" s="81"/>
      <c r="N403" s="81"/>
      <c r="O403" s="81"/>
      <c r="P403" s="81"/>
      <c r="Q403" s="81"/>
      <c r="R403" s="81"/>
      <c r="S403" s="81"/>
      <c r="T403" s="81"/>
      <c r="U403" s="81"/>
      <c r="V403" s="81"/>
      <c r="W403" s="81"/>
    </row>
    <row r="404" spans="1:23" s="4" customFormat="1">
      <c r="B404" s="4">
        <v>420</v>
      </c>
      <c r="C404" s="44"/>
      <c r="D404" s="4" t="s">
        <v>114</v>
      </c>
      <c r="E404" s="210"/>
      <c r="F404" s="210"/>
      <c r="G404" s="239"/>
      <c r="H404" s="210">
        <f t="shared" si="34"/>
        <v>0</v>
      </c>
      <c r="I404" s="210"/>
      <c r="J404" s="210"/>
      <c r="K404" s="210"/>
      <c r="L404" s="259"/>
      <c r="M404" s="81"/>
      <c r="N404" s="81"/>
      <c r="O404" s="81"/>
      <c r="P404" s="81"/>
      <c r="Q404" s="81"/>
      <c r="R404" s="81"/>
      <c r="S404" s="81"/>
      <c r="T404" s="81"/>
      <c r="U404" s="81"/>
      <c r="V404" s="81"/>
      <c r="W404" s="81"/>
    </row>
    <row r="405" spans="1:23" s="4" customFormat="1">
      <c r="B405" s="4">
        <v>420</v>
      </c>
      <c r="C405" s="44"/>
      <c r="D405" s="4" t="s">
        <v>375</v>
      </c>
      <c r="E405" s="210"/>
      <c r="F405" s="210"/>
      <c r="G405" s="239"/>
      <c r="H405" s="210">
        <f t="shared" si="34"/>
        <v>0</v>
      </c>
      <c r="I405" s="210"/>
      <c r="J405" s="210"/>
      <c r="K405" s="210"/>
      <c r="L405" s="141"/>
      <c r="M405" s="81"/>
      <c r="N405" s="81"/>
      <c r="O405" s="81"/>
      <c r="P405" s="81"/>
      <c r="Q405" s="81"/>
      <c r="R405" s="81"/>
      <c r="S405" s="81"/>
      <c r="T405" s="81"/>
      <c r="U405" s="81"/>
      <c r="V405" s="81"/>
      <c r="W405" s="81"/>
    </row>
    <row r="406" spans="1:23" s="4" customFormat="1">
      <c r="B406" s="4">
        <v>420</v>
      </c>
      <c r="C406" s="44"/>
      <c r="D406" s="4" t="s">
        <v>190</v>
      </c>
      <c r="E406" s="210"/>
      <c r="F406" s="210"/>
      <c r="G406" s="239"/>
      <c r="H406" s="210">
        <f t="shared" si="34"/>
        <v>0</v>
      </c>
      <c r="I406" s="210"/>
      <c r="J406" s="210"/>
      <c r="K406" s="210"/>
      <c r="L406" s="141"/>
      <c r="M406" s="81"/>
      <c r="N406" s="81"/>
      <c r="O406" s="81"/>
      <c r="P406" s="81"/>
      <c r="Q406" s="81"/>
      <c r="R406" s="81"/>
      <c r="S406" s="81"/>
      <c r="T406" s="81"/>
      <c r="U406" s="81"/>
      <c r="V406" s="81"/>
      <c r="W406" s="81"/>
    </row>
    <row r="407" spans="1:23" s="4" customFormat="1">
      <c r="B407" s="4">
        <v>420</v>
      </c>
      <c r="C407" s="44"/>
      <c r="D407" s="4" t="s">
        <v>253</v>
      </c>
      <c r="E407" s="210"/>
      <c r="F407" s="210"/>
      <c r="G407" s="239"/>
      <c r="H407" s="210">
        <f t="shared" si="34"/>
        <v>0</v>
      </c>
      <c r="I407" s="210"/>
      <c r="J407" s="210"/>
      <c r="K407" s="210"/>
      <c r="L407" s="141"/>
      <c r="M407" s="81"/>
      <c r="N407" s="81"/>
      <c r="O407" s="81"/>
      <c r="P407" s="81"/>
      <c r="Q407" s="81"/>
      <c r="R407" s="81"/>
      <c r="S407" s="81"/>
      <c r="T407" s="81"/>
      <c r="U407" s="81"/>
      <c r="V407" s="81"/>
      <c r="W407" s="81"/>
    </row>
    <row r="408" spans="1:23" s="4" customFormat="1">
      <c r="B408" s="4">
        <v>420</v>
      </c>
      <c r="C408" s="44">
        <v>5705156</v>
      </c>
      <c r="D408" s="4" t="s">
        <v>376</v>
      </c>
      <c r="E408" s="210">
        <v>22800</v>
      </c>
      <c r="F408" s="210">
        <v>22800</v>
      </c>
      <c r="G408" s="239">
        <f t="shared" ref="G408:G466" si="35">(I408-F408)/E408</f>
        <v>6.5789473684210523E-3</v>
      </c>
      <c r="H408" s="210">
        <f t="shared" si="34"/>
        <v>150</v>
      </c>
      <c r="I408" s="210">
        <v>22950</v>
      </c>
      <c r="J408" s="210">
        <v>22950</v>
      </c>
      <c r="K408" s="210">
        <v>22950</v>
      </c>
      <c r="L408" s="141">
        <f>SUM(I408:I435, I439:I440,I445,I451)</f>
        <v>444300</v>
      </c>
      <c r="M408" s="81"/>
      <c r="N408" s="81"/>
      <c r="O408" s="81"/>
      <c r="P408" s="81"/>
      <c r="Q408" s="81"/>
      <c r="R408" s="81"/>
      <c r="S408" s="81"/>
      <c r="T408" s="81"/>
      <c r="U408" s="81"/>
      <c r="V408" s="81"/>
      <c r="W408" s="81"/>
    </row>
    <row r="409" spans="1:23" s="4" customFormat="1">
      <c r="B409" s="4">
        <v>420</v>
      </c>
      <c r="C409" s="44"/>
      <c r="D409" s="4" t="s">
        <v>262</v>
      </c>
      <c r="E409" s="210"/>
      <c r="F409" s="210"/>
      <c r="G409" s="239"/>
      <c r="H409" s="210">
        <f t="shared" si="34"/>
        <v>0</v>
      </c>
      <c r="I409" s="210"/>
      <c r="J409" s="210"/>
      <c r="K409" s="210"/>
      <c r="L409" s="141"/>
      <c r="M409" s="81"/>
      <c r="N409" s="81"/>
      <c r="O409" s="81"/>
      <c r="P409" s="81"/>
      <c r="Q409" s="81"/>
      <c r="R409" s="81"/>
      <c r="S409" s="81"/>
      <c r="T409" s="81"/>
      <c r="U409" s="81"/>
      <c r="V409" s="81"/>
      <c r="W409" s="81"/>
    </row>
    <row r="410" spans="1:23" s="4" customFormat="1">
      <c r="B410" s="4">
        <v>420</v>
      </c>
      <c r="C410" s="44"/>
      <c r="D410" s="4" t="s">
        <v>201</v>
      </c>
      <c r="E410" s="210"/>
      <c r="F410" s="210"/>
      <c r="G410" s="239"/>
      <c r="H410" s="210">
        <f t="shared" si="34"/>
        <v>0</v>
      </c>
      <c r="I410" s="210"/>
      <c r="J410" s="210"/>
      <c r="K410" s="210"/>
      <c r="L410" s="141"/>
      <c r="M410" s="81"/>
      <c r="N410" s="81"/>
      <c r="O410" s="81"/>
      <c r="P410" s="81"/>
      <c r="Q410" s="81"/>
      <c r="R410" s="81"/>
      <c r="S410" s="81"/>
      <c r="T410" s="81"/>
      <c r="U410" s="81"/>
      <c r="V410" s="81"/>
      <c r="W410" s="81"/>
    </row>
    <row r="411" spans="1:23" s="4" customFormat="1">
      <c r="B411" s="4">
        <v>420</v>
      </c>
      <c r="C411" s="44">
        <v>5705244</v>
      </c>
      <c r="D411" s="4" t="s">
        <v>210</v>
      </c>
      <c r="E411" s="210">
        <v>32000</v>
      </c>
      <c r="F411" s="210">
        <v>30000</v>
      </c>
      <c r="G411" s="239">
        <f t="shared" si="35"/>
        <v>0.15625</v>
      </c>
      <c r="H411" s="210">
        <f t="shared" si="34"/>
        <v>5000</v>
      </c>
      <c r="I411" s="210">
        <v>35000</v>
      </c>
      <c r="J411" s="210">
        <v>35000</v>
      </c>
      <c r="K411" s="210">
        <v>35000</v>
      </c>
      <c r="L411" s="141"/>
      <c r="M411" s="81"/>
      <c r="N411" s="81"/>
      <c r="O411" s="81"/>
      <c r="P411" s="81"/>
      <c r="Q411" s="81"/>
      <c r="R411" s="81"/>
      <c r="S411" s="81"/>
      <c r="T411" s="81"/>
      <c r="U411" s="81"/>
      <c r="V411" s="81"/>
      <c r="W411" s="81"/>
    </row>
    <row r="412" spans="1:23" s="4" customFormat="1">
      <c r="B412" s="4">
        <v>420</v>
      </c>
      <c r="C412" s="44">
        <v>5705242</v>
      </c>
      <c r="D412" s="4" t="s">
        <v>377</v>
      </c>
      <c r="E412" s="210">
        <v>61800</v>
      </c>
      <c r="F412" s="210">
        <v>60800</v>
      </c>
      <c r="G412" s="239">
        <f t="shared" si="35"/>
        <v>6.7961165048543687E-2</v>
      </c>
      <c r="H412" s="210">
        <f t="shared" si="34"/>
        <v>4200</v>
      </c>
      <c r="I412" s="210">
        <v>65000</v>
      </c>
      <c r="J412" s="210">
        <v>65000</v>
      </c>
      <c r="K412" s="210">
        <v>65000</v>
      </c>
      <c r="L412" s="141"/>
      <c r="M412" s="81"/>
      <c r="N412" s="81"/>
      <c r="O412" s="81"/>
      <c r="P412" s="81"/>
      <c r="Q412" s="81"/>
      <c r="R412" s="81"/>
      <c r="S412" s="81"/>
      <c r="T412" s="81"/>
      <c r="U412" s="81"/>
      <c r="V412" s="81"/>
      <c r="W412" s="81"/>
    </row>
    <row r="413" spans="1:23" s="4" customFormat="1">
      <c r="B413" s="4">
        <v>420</v>
      </c>
      <c r="C413" s="44">
        <v>5705242</v>
      </c>
      <c r="D413" s="4" t="s">
        <v>378</v>
      </c>
      <c r="E413" s="210"/>
      <c r="F413" s="210"/>
      <c r="G413" s="239"/>
      <c r="H413" s="210">
        <f t="shared" si="34"/>
        <v>0</v>
      </c>
      <c r="I413" s="210"/>
      <c r="J413" s="210"/>
      <c r="K413" s="210"/>
      <c r="L413" s="141"/>
      <c r="M413" s="81"/>
      <c r="N413" s="81"/>
      <c r="O413" s="81"/>
      <c r="P413" s="81"/>
      <c r="Q413" s="81"/>
      <c r="R413" s="81"/>
      <c r="S413" s="81"/>
      <c r="T413" s="81"/>
      <c r="U413" s="81"/>
      <c r="V413" s="81"/>
      <c r="W413" s="81"/>
    </row>
    <row r="414" spans="1:23" s="4" customFormat="1">
      <c r="B414" s="4">
        <v>420</v>
      </c>
      <c r="C414" s="44">
        <v>5705531</v>
      </c>
      <c r="D414" s="4" t="s">
        <v>379</v>
      </c>
      <c r="E414" s="210"/>
      <c r="F414" s="210"/>
      <c r="G414" s="239"/>
      <c r="H414" s="210">
        <f t="shared" si="34"/>
        <v>0</v>
      </c>
      <c r="I414" s="210"/>
      <c r="J414" s="210"/>
      <c r="K414" s="210"/>
      <c r="L414" s="141"/>
      <c r="M414" s="81"/>
      <c r="N414" s="81"/>
      <c r="O414" s="81"/>
      <c r="P414" s="81"/>
      <c r="Q414" s="81"/>
      <c r="R414" s="81"/>
      <c r="S414" s="81"/>
      <c r="T414" s="81"/>
      <c r="U414" s="81"/>
      <c r="V414" s="81"/>
      <c r="W414" s="81"/>
    </row>
    <row r="415" spans="1:23" s="6" customFormat="1">
      <c r="A415" s="4"/>
      <c r="B415" s="4">
        <v>420</v>
      </c>
      <c r="C415" s="44">
        <v>5705248</v>
      </c>
      <c r="D415" s="4" t="s">
        <v>380</v>
      </c>
      <c r="E415" s="210">
        <v>80000</v>
      </c>
      <c r="F415" s="210">
        <v>80000</v>
      </c>
      <c r="G415" s="239">
        <f t="shared" si="35"/>
        <v>4.4999999999999998E-2</v>
      </c>
      <c r="H415" s="210">
        <f t="shared" si="34"/>
        <v>3600</v>
      </c>
      <c r="I415" s="210">
        <v>83600</v>
      </c>
      <c r="J415" s="210">
        <v>83600</v>
      </c>
      <c r="K415" s="210">
        <v>83600</v>
      </c>
      <c r="L415" s="141"/>
      <c r="M415" s="81"/>
      <c r="N415" s="81"/>
      <c r="O415" s="81"/>
      <c r="P415" s="81"/>
      <c r="Q415" s="81"/>
      <c r="R415" s="81"/>
      <c r="S415" s="81"/>
      <c r="T415" s="81"/>
      <c r="U415" s="81"/>
      <c r="V415" s="81"/>
      <c r="W415" s="81"/>
    </row>
    <row r="416" spans="1:23" s="4" customFormat="1">
      <c r="B416" s="4">
        <v>420</v>
      </c>
      <c r="C416" s="44">
        <v>5705244</v>
      </c>
      <c r="D416" s="4" t="s">
        <v>381</v>
      </c>
      <c r="E416" s="210"/>
      <c r="F416" s="210"/>
      <c r="G416" s="239"/>
      <c r="H416" s="210">
        <f t="shared" si="34"/>
        <v>0</v>
      </c>
      <c r="I416" s="210"/>
      <c r="J416" s="210"/>
      <c r="K416" s="210"/>
      <c r="L416" s="141"/>
      <c r="M416" s="81"/>
      <c r="N416" s="81"/>
      <c r="O416" s="81"/>
      <c r="P416" s="81"/>
      <c r="Q416" s="81"/>
      <c r="R416" s="81"/>
      <c r="S416" s="81"/>
      <c r="T416" s="81"/>
      <c r="U416" s="81"/>
      <c r="V416" s="81"/>
      <c r="W416" s="81"/>
    </row>
    <row r="417" spans="1:23" s="6" customFormat="1">
      <c r="A417" s="4"/>
      <c r="B417" s="4">
        <v>420</v>
      </c>
      <c r="C417" s="44">
        <v>5705292</v>
      </c>
      <c r="D417" s="4" t="s">
        <v>382</v>
      </c>
      <c r="E417" s="210">
        <v>67400</v>
      </c>
      <c r="F417" s="210">
        <v>67400</v>
      </c>
      <c r="G417" s="239">
        <f t="shared" si="35"/>
        <v>3.857566765578635E-2</v>
      </c>
      <c r="H417" s="210">
        <f t="shared" si="34"/>
        <v>2600</v>
      </c>
      <c r="I417" s="210">
        <v>70000</v>
      </c>
      <c r="J417" s="210">
        <v>70000</v>
      </c>
      <c r="K417" s="210">
        <v>70000</v>
      </c>
      <c r="L417" s="141"/>
      <c r="M417" s="81"/>
      <c r="N417" s="81"/>
      <c r="O417" s="81"/>
      <c r="P417" s="81"/>
      <c r="Q417" s="81"/>
      <c r="R417" s="81"/>
      <c r="S417" s="81"/>
      <c r="T417" s="81"/>
      <c r="U417" s="81"/>
      <c r="V417" s="81"/>
      <c r="W417" s="81"/>
    </row>
    <row r="418" spans="1:23" s="6" customFormat="1">
      <c r="A418" s="4"/>
      <c r="B418" s="4">
        <v>420</v>
      </c>
      <c r="C418" s="44"/>
      <c r="D418" s="4" t="s">
        <v>117</v>
      </c>
      <c r="E418" s="210"/>
      <c r="F418" s="210"/>
      <c r="G418" s="239"/>
      <c r="H418" s="210">
        <f t="shared" si="34"/>
        <v>0</v>
      </c>
      <c r="I418" s="210"/>
      <c r="J418" s="210"/>
      <c r="K418" s="210"/>
      <c r="L418" s="141"/>
      <c r="M418" s="81"/>
      <c r="N418" s="81"/>
      <c r="O418" s="81"/>
      <c r="P418" s="81"/>
      <c r="Q418" s="81"/>
      <c r="R418" s="81"/>
      <c r="S418" s="81"/>
      <c r="T418" s="81"/>
      <c r="U418" s="81"/>
      <c r="V418" s="81"/>
      <c r="W418" s="81"/>
    </row>
    <row r="419" spans="1:23" s="4" customFormat="1">
      <c r="B419" s="4">
        <v>420</v>
      </c>
      <c r="C419" s="44">
        <v>5705420</v>
      </c>
      <c r="D419" s="4" t="s">
        <v>221</v>
      </c>
      <c r="E419" s="210"/>
      <c r="F419" s="210"/>
      <c r="G419" s="239"/>
      <c r="H419" s="210">
        <f t="shared" si="34"/>
        <v>0</v>
      </c>
      <c r="I419" s="210"/>
      <c r="J419" s="210"/>
      <c r="K419" s="210"/>
      <c r="L419" s="141"/>
      <c r="M419" s="81"/>
      <c r="N419" s="81"/>
      <c r="O419" s="81"/>
      <c r="P419" s="81"/>
      <c r="Q419" s="81"/>
      <c r="R419" s="81"/>
      <c r="S419" s="81"/>
      <c r="T419" s="81"/>
      <c r="U419" s="81"/>
      <c r="V419" s="81"/>
      <c r="W419" s="81"/>
    </row>
    <row r="420" spans="1:23" s="4" customFormat="1">
      <c r="B420" s="4">
        <v>420</v>
      </c>
      <c r="C420" s="44">
        <v>5705420</v>
      </c>
      <c r="D420" s="4" t="s">
        <v>383</v>
      </c>
      <c r="E420" s="210"/>
      <c r="F420" s="210"/>
      <c r="G420" s="239"/>
      <c r="H420" s="210">
        <f t="shared" si="34"/>
        <v>0</v>
      </c>
      <c r="I420" s="210"/>
      <c r="J420" s="210"/>
      <c r="K420" s="210"/>
      <c r="L420" s="141"/>
      <c r="M420" s="81"/>
      <c r="N420" s="81"/>
      <c r="O420" s="81"/>
      <c r="P420" s="81"/>
      <c r="Q420" s="81"/>
      <c r="R420" s="81"/>
      <c r="S420" s="81"/>
      <c r="T420" s="81"/>
      <c r="U420" s="81"/>
      <c r="V420" s="81"/>
      <c r="W420" s="81"/>
    </row>
    <row r="421" spans="1:23" s="6" customFormat="1">
      <c r="A421" s="4"/>
      <c r="B421" s="4">
        <v>420</v>
      </c>
      <c r="C421" s="44">
        <v>5705301</v>
      </c>
      <c r="D421" s="4" t="s">
        <v>193</v>
      </c>
      <c r="E421" s="210">
        <v>6100</v>
      </c>
      <c r="F421" s="210">
        <v>0</v>
      </c>
      <c r="G421" s="239">
        <f t="shared" si="35"/>
        <v>1.1475409836065573</v>
      </c>
      <c r="H421" s="210">
        <f t="shared" si="34"/>
        <v>7000</v>
      </c>
      <c r="I421" s="210">
        <v>7000</v>
      </c>
      <c r="J421" s="210">
        <v>7000</v>
      </c>
      <c r="K421" s="210">
        <v>7000</v>
      </c>
      <c r="L421" s="141"/>
      <c r="M421" s="81"/>
      <c r="N421" s="81"/>
      <c r="O421" s="81"/>
      <c r="P421" s="81"/>
      <c r="Q421" s="81"/>
      <c r="R421" s="81"/>
      <c r="S421" s="81"/>
      <c r="T421" s="81"/>
      <c r="U421" s="81"/>
      <c r="V421" s="81"/>
      <c r="W421" s="81"/>
    </row>
    <row r="422" spans="1:23" s="4" customFormat="1">
      <c r="B422" s="4">
        <v>420</v>
      </c>
      <c r="C422" s="44"/>
      <c r="D422" s="4" t="s">
        <v>145</v>
      </c>
      <c r="E422" s="210"/>
      <c r="F422" s="210"/>
      <c r="G422" s="239"/>
      <c r="H422" s="210">
        <f t="shared" si="34"/>
        <v>0</v>
      </c>
      <c r="I422" s="210"/>
      <c r="J422" s="210"/>
      <c r="K422" s="210"/>
      <c r="L422" s="141"/>
      <c r="M422" s="81"/>
      <c r="N422" s="81"/>
      <c r="O422" s="81"/>
      <c r="P422" s="81"/>
      <c r="Q422" s="81"/>
      <c r="R422" s="81"/>
      <c r="S422" s="81"/>
      <c r="T422" s="81"/>
      <c r="U422" s="81"/>
      <c r="V422" s="81"/>
      <c r="W422" s="81"/>
    </row>
    <row r="423" spans="1:23" s="6" customFormat="1">
      <c r="A423" s="4"/>
      <c r="B423" s="4">
        <v>420</v>
      </c>
      <c r="C423" s="44">
        <v>5705244</v>
      </c>
      <c r="D423" s="4" t="s">
        <v>224</v>
      </c>
      <c r="E423" s="210"/>
      <c r="F423" s="210"/>
      <c r="G423" s="239"/>
      <c r="H423" s="210">
        <f t="shared" si="34"/>
        <v>0</v>
      </c>
      <c r="I423" s="210"/>
      <c r="J423" s="210"/>
      <c r="K423" s="210"/>
      <c r="L423" s="141"/>
      <c r="M423" s="81"/>
      <c r="N423" s="81"/>
      <c r="O423" s="81"/>
      <c r="P423" s="81"/>
      <c r="Q423" s="81"/>
      <c r="R423" s="81"/>
      <c r="S423" s="81"/>
      <c r="T423" s="81"/>
      <c r="U423" s="81"/>
      <c r="V423" s="81"/>
      <c r="W423" s="81"/>
    </row>
    <row r="424" spans="1:23" s="4" customFormat="1">
      <c r="B424" s="4">
        <v>420</v>
      </c>
      <c r="C424" s="44">
        <v>5705420</v>
      </c>
      <c r="D424" s="4" t="s">
        <v>118</v>
      </c>
      <c r="E424" s="210">
        <v>6450</v>
      </c>
      <c r="F424" s="210">
        <v>5950</v>
      </c>
      <c r="G424" s="239">
        <f t="shared" si="35"/>
        <v>0.93798449612403101</v>
      </c>
      <c r="H424" s="210">
        <f t="shared" si="34"/>
        <v>6050</v>
      </c>
      <c r="I424" s="210">
        <v>12000</v>
      </c>
      <c r="J424" s="210">
        <v>12000</v>
      </c>
      <c r="K424" s="210">
        <v>12000</v>
      </c>
      <c r="L424" s="141"/>
      <c r="M424" s="81"/>
      <c r="N424" s="81"/>
      <c r="O424" s="81"/>
      <c r="P424" s="81"/>
      <c r="Q424" s="81"/>
      <c r="R424" s="81"/>
      <c r="S424" s="81"/>
      <c r="T424" s="81"/>
      <c r="U424" s="81"/>
      <c r="V424" s="81"/>
      <c r="W424" s="81"/>
    </row>
    <row r="425" spans="1:23" s="4" customFormat="1">
      <c r="B425" s="4">
        <v>420</v>
      </c>
      <c r="C425" s="44">
        <v>5705242</v>
      </c>
      <c r="D425" s="4" t="s">
        <v>384</v>
      </c>
      <c r="E425" s="210"/>
      <c r="F425" s="210"/>
      <c r="G425" s="239"/>
      <c r="H425" s="210">
        <f t="shared" si="34"/>
        <v>0</v>
      </c>
      <c r="I425" s="210"/>
      <c r="J425" s="210"/>
      <c r="K425" s="210"/>
      <c r="L425" s="141"/>
      <c r="M425" s="81"/>
      <c r="N425" s="81"/>
      <c r="O425" s="81"/>
      <c r="P425" s="81"/>
      <c r="Q425" s="81"/>
      <c r="R425" s="81"/>
      <c r="S425" s="81"/>
      <c r="T425" s="81"/>
      <c r="U425" s="81"/>
      <c r="V425" s="81"/>
      <c r="W425" s="81"/>
    </row>
    <row r="426" spans="1:23" s="6" customFormat="1">
      <c r="A426" s="4"/>
      <c r="B426" s="4">
        <v>420</v>
      </c>
      <c r="C426" s="44">
        <v>5705156</v>
      </c>
      <c r="D426" s="4" t="s">
        <v>385</v>
      </c>
      <c r="E426" s="210"/>
      <c r="F426" s="210"/>
      <c r="G426" s="239"/>
      <c r="H426" s="210">
        <f t="shared" si="34"/>
        <v>0</v>
      </c>
      <c r="I426" s="210"/>
      <c r="J426" s="210"/>
      <c r="K426" s="210"/>
      <c r="L426" s="141"/>
      <c r="M426" s="81"/>
      <c r="N426" s="81"/>
      <c r="O426" s="81"/>
      <c r="P426" s="81"/>
      <c r="Q426" s="81"/>
      <c r="R426" s="81"/>
      <c r="S426" s="81"/>
      <c r="T426" s="81"/>
      <c r="U426" s="81"/>
      <c r="V426" s="81"/>
      <c r="W426" s="81"/>
    </row>
    <row r="427" spans="1:23" s="4" customFormat="1">
      <c r="B427" s="4">
        <v>420</v>
      </c>
      <c r="C427" s="44">
        <v>5705531</v>
      </c>
      <c r="D427" s="4" t="s">
        <v>386</v>
      </c>
      <c r="E427" s="210"/>
      <c r="F427" s="210"/>
      <c r="G427" s="239"/>
      <c r="H427" s="210">
        <f t="shared" si="34"/>
        <v>0</v>
      </c>
      <c r="I427" s="210"/>
      <c r="J427" s="210"/>
      <c r="K427" s="210"/>
      <c r="L427" s="141"/>
      <c r="M427" s="81"/>
      <c r="N427" s="81"/>
      <c r="O427" s="81"/>
      <c r="P427" s="81"/>
      <c r="Q427" s="81"/>
      <c r="R427" s="81"/>
      <c r="S427" s="81"/>
      <c r="T427" s="81"/>
      <c r="U427" s="81"/>
      <c r="V427" s="81"/>
      <c r="W427" s="81"/>
    </row>
    <row r="428" spans="1:23" s="6" customFormat="1">
      <c r="A428" s="4"/>
      <c r="B428" s="4">
        <v>420</v>
      </c>
      <c r="C428" s="44">
        <v>5705301</v>
      </c>
      <c r="D428" s="4" t="s">
        <v>387</v>
      </c>
      <c r="E428" s="210"/>
      <c r="F428" s="210"/>
      <c r="G428" s="239"/>
      <c r="H428" s="210">
        <f t="shared" si="34"/>
        <v>0</v>
      </c>
      <c r="I428" s="210"/>
      <c r="J428" s="210"/>
      <c r="K428" s="210"/>
      <c r="L428" s="141"/>
      <c r="M428" s="81"/>
      <c r="N428" s="81"/>
      <c r="O428" s="81"/>
      <c r="P428" s="81"/>
      <c r="Q428" s="81"/>
      <c r="R428" s="81"/>
      <c r="S428" s="81"/>
      <c r="T428" s="81"/>
      <c r="U428" s="81"/>
      <c r="V428" s="81"/>
      <c r="W428" s="81"/>
    </row>
    <row r="429" spans="1:23" s="4" customFormat="1">
      <c r="B429" s="4">
        <v>420</v>
      </c>
      <c r="C429" s="44">
        <v>5705700</v>
      </c>
      <c r="D429" s="4" t="s">
        <v>388</v>
      </c>
      <c r="E429" s="210">
        <v>75000</v>
      </c>
      <c r="F429" s="210">
        <v>75000</v>
      </c>
      <c r="G429" s="239">
        <f t="shared" si="35"/>
        <v>0</v>
      </c>
      <c r="H429" s="210">
        <f t="shared" si="34"/>
        <v>0</v>
      </c>
      <c r="I429" s="210">
        <v>75000</v>
      </c>
      <c r="J429" s="210">
        <v>75000</v>
      </c>
      <c r="K429" s="210">
        <v>75000</v>
      </c>
      <c r="L429" s="141"/>
      <c r="M429" s="81"/>
      <c r="N429" s="81"/>
      <c r="O429" s="81"/>
      <c r="P429" s="81"/>
      <c r="Q429" s="81"/>
      <c r="R429" s="81"/>
      <c r="S429" s="81"/>
      <c r="T429" s="81"/>
      <c r="U429" s="81"/>
      <c r="V429" s="81"/>
      <c r="W429" s="81"/>
    </row>
    <row r="430" spans="1:23" s="4" customFormat="1">
      <c r="B430" s="4">
        <v>420</v>
      </c>
      <c r="C430" s="44">
        <v>5705531</v>
      </c>
      <c r="D430" s="4" t="s">
        <v>389</v>
      </c>
      <c r="E430" s="210">
        <v>40000</v>
      </c>
      <c r="F430" s="210">
        <v>35000</v>
      </c>
      <c r="G430" s="239">
        <f t="shared" si="35"/>
        <v>0.625</v>
      </c>
      <c r="H430" s="210">
        <f t="shared" si="34"/>
        <v>25000</v>
      </c>
      <c r="I430" s="210">
        <v>60000</v>
      </c>
      <c r="J430" s="210">
        <v>60000</v>
      </c>
      <c r="K430" s="210">
        <v>60000</v>
      </c>
      <c r="L430" s="141">
        <f>1839584</f>
        <v>1839584</v>
      </c>
      <c r="M430" s="81"/>
      <c r="N430" s="81"/>
      <c r="O430" s="81"/>
      <c r="P430" s="81"/>
      <c r="Q430" s="81"/>
      <c r="R430" s="81"/>
      <c r="S430" s="81"/>
      <c r="T430" s="81"/>
      <c r="U430" s="81"/>
      <c r="V430" s="81"/>
      <c r="W430" s="81"/>
    </row>
    <row r="431" spans="1:23" s="4" customFormat="1">
      <c r="B431" s="4">
        <v>420</v>
      </c>
      <c r="C431" s="44"/>
      <c r="D431" s="4" t="s">
        <v>119</v>
      </c>
      <c r="E431" s="210"/>
      <c r="F431" s="210"/>
      <c r="G431" s="239"/>
      <c r="H431" s="210">
        <f t="shared" si="34"/>
        <v>0</v>
      </c>
      <c r="I431" s="210"/>
      <c r="J431" s="210"/>
      <c r="K431" s="210"/>
      <c r="L431" s="141">
        <v>365767</v>
      </c>
      <c r="M431" s="81"/>
      <c r="N431" s="81"/>
      <c r="O431" s="81"/>
      <c r="P431" s="81"/>
      <c r="Q431" s="81"/>
      <c r="R431" s="81"/>
      <c r="S431" s="81"/>
      <c r="T431" s="81"/>
      <c r="U431" s="81"/>
      <c r="V431" s="81"/>
      <c r="W431" s="81"/>
    </row>
    <row r="432" spans="1:23" s="4" customFormat="1">
      <c r="B432" s="4">
        <v>420</v>
      </c>
      <c r="C432" s="44">
        <v>5705420</v>
      </c>
      <c r="D432" s="4" t="s">
        <v>120</v>
      </c>
      <c r="E432" s="210"/>
      <c r="F432" s="210"/>
      <c r="G432" s="239"/>
      <c r="H432" s="210">
        <f t="shared" si="34"/>
        <v>0</v>
      </c>
      <c r="I432" s="210"/>
      <c r="J432" s="210"/>
      <c r="K432" s="210"/>
      <c r="L432" s="141">
        <v>399762</v>
      </c>
      <c r="M432" s="81"/>
      <c r="N432" s="81"/>
      <c r="O432" s="81"/>
      <c r="P432" s="81"/>
      <c r="Q432" s="81"/>
      <c r="R432" s="81"/>
      <c r="S432" s="81"/>
      <c r="T432" s="81"/>
      <c r="U432" s="81"/>
      <c r="V432" s="81"/>
      <c r="W432" s="81"/>
    </row>
    <row r="433" spans="1:23" s="4" customFormat="1">
      <c r="B433" s="4">
        <v>420</v>
      </c>
      <c r="C433" s="44"/>
      <c r="D433" s="4" t="s">
        <v>149</v>
      </c>
      <c r="E433" s="210"/>
      <c r="F433" s="210"/>
      <c r="G433" s="239"/>
      <c r="H433" s="210">
        <f t="shared" si="34"/>
        <v>0</v>
      </c>
      <c r="I433" s="210"/>
      <c r="J433" s="210"/>
      <c r="K433" s="210"/>
      <c r="L433" s="141">
        <v>147802</v>
      </c>
      <c r="M433" s="81"/>
      <c r="N433" s="81"/>
      <c r="O433" s="81"/>
      <c r="P433" s="81"/>
      <c r="Q433" s="81"/>
      <c r="R433" s="81"/>
      <c r="S433" s="81"/>
      <c r="T433" s="81"/>
      <c r="U433" s="81"/>
      <c r="V433" s="81"/>
      <c r="W433" s="81"/>
    </row>
    <row r="434" spans="1:23" s="4" customFormat="1">
      <c r="B434" s="4">
        <v>420</v>
      </c>
      <c r="C434" s="44">
        <v>5705272</v>
      </c>
      <c r="D434" s="4" t="s">
        <v>390</v>
      </c>
      <c r="E434" s="210">
        <v>5000</v>
      </c>
      <c r="F434" s="210">
        <v>4000</v>
      </c>
      <c r="G434" s="239">
        <f t="shared" si="35"/>
        <v>0.2</v>
      </c>
      <c r="H434" s="210">
        <f t="shared" si="34"/>
        <v>1000</v>
      </c>
      <c r="I434" s="210">
        <v>5000</v>
      </c>
      <c r="J434" s="210">
        <v>5000</v>
      </c>
      <c r="K434" s="210">
        <v>5000</v>
      </c>
      <c r="L434" s="141">
        <v>92959</v>
      </c>
      <c r="M434" s="81"/>
      <c r="N434" s="81"/>
      <c r="O434" s="81"/>
      <c r="P434" s="81"/>
      <c r="Q434" s="81"/>
      <c r="R434" s="81"/>
      <c r="S434" s="81"/>
      <c r="T434" s="81"/>
      <c r="U434" s="81"/>
      <c r="V434" s="81"/>
      <c r="W434" s="81"/>
    </row>
    <row r="435" spans="1:23" s="4" customFormat="1">
      <c r="C435" s="44"/>
      <c r="E435" s="210"/>
      <c r="F435" s="210"/>
      <c r="G435" s="239"/>
      <c r="H435" s="210">
        <f t="shared" si="34"/>
        <v>0</v>
      </c>
      <c r="I435" s="210"/>
      <c r="J435" s="210"/>
      <c r="K435" s="210"/>
      <c r="L435" s="141">
        <f>SUM(L430:L434)</f>
        <v>2845874</v>
      </c>
      <c r="M435" s="81"/>
      <c r="N435" s="81"/>
      <c r="O435" s="81"/>
      <c r="P435" s="81"/>
      <c r="Q435" s="81"/>
      <c r="R435" s="81"/>
      <c r="S435" s="81"/>
      <c r="T435" s="81"/>
      <c r="U435" s="81"/>
      <c r="V435" s="81"/>
      <c r="W435" s="81"/>
    </row>
    <row r="436" spans="1:23" s="4" customFormat="1">
      <c r="A436" s="4" t="s">
        <v>391</v>
      </c>
      <c r="B436" s="6" t="s">
        <v>104</v>
      </c>
      <c r="C436" s="43" t="s">
        <v>392</v>
      </c>
      <c r="D436" s="6"/>
      <c r="E436" s="244">
        <f>SUM(E400:E435)</f>
        <v>1041550</v>
      </c>
      <c r="F436" s="244">
        <f>SUM(F400:F435)</f>
        <v>1076740</v>
      </c>
      <c r="G436" s="245">
        <f t="shared" si="35"/>
        <v>9.537708223321012E-2</v>
      </c>
      <c r="H436" s="244">
        <f t="shared" si="34"/>
        <v>99340</v>
      </c>
      <c r="I436" s="244">
        <f>SUM(I400:I435)</f>
        <v>1176080</v>
      </c>
      <c r="J436" s="244">
        <f>SUM(J400:J435)</f>
        <v>1176080</v>
      </c>
      <c r="K436" s="244">
        <f>SUM(K400:K435)</f>
        <v>1176080</v>
      </c>
      <c r="L436" s="60"/>
      <c r="M436" s="81"/>
      <c r="N436" s="81"/>
      <c r="O436" s="81"/>
      <c r="P436" s="81"/>
      <c r="Q436" s="81"/>
      <c r="R436" s="81"/>
      <c r="S436" s="81"/>
      <c r="T436" s="81"/>
      <c r="U436" s="81"/>
      <c r="V436" s="81"/>
      <c r="W436" s="81"/>
    </row>
    <row r="437" spans="1:23" s="4" customFormat="1">
      <c r="C437" s="44"/>
      <c r="E437" s="80"/>
      <c r="F437" s="80"/>
      <c r="G437" s="80"/>
      <c r="H437" s="80"/>
      <c r="I437" s="80"/>
      <c r="J437" s="80"/>
      <c r="K437" s="80"/>
      <c r="L437" s="81"/>
      <c r="M437" s="81"/>
      <c r="N437" s="81"/>
      <c r="O437" s="81"/>
      <c r="P437" s="81"/>
      <c r="Q437" s="81"/>
      <c r="R437" s="81"/>
      <c r="S437" s="81"/>
      <c r="T437" s="81"/>
      <c r="U437" s="81"/>
      <c r="V437" s="81"/>
      <c r="W437" s="81"/>
    </row>
    <row r="438" spans="1:23" s="4" customFormat="1">
      <c r="B438" s="6">
        <v>492</v>
      </c>
      <c r="C438" s="43" t="s">
        <v>393</v>
      </c>
      <c r="D438" s="6"/>
      <c r="E438" s="225"/>
      <c r="F438" s="225"/>
      <c r="G438" s="225"/>
      <c r="H438" s="225">
        <f t="shared" si="34"/>
        <v>0</v>
      </c>
      <c r="I438" s="225"/>
      <c r="J438" s="225"/>
      <c r="K438" s="225"/>
      <c r="L438" s="94"/>
      <c r="M438" s="81"/>
      <c r="N438" s="81"/>
      <c r="O438" s="81"/>
      <c r="P438" s="81"/>
      <c r="Q438" s="81"/>
      <c r="R438" s="81"/>
      <c r="S438" s="81"/>
      <c r="T438" s="81"/>
      <c r="U438" s="81"/>
      <c r="V438" s="81"/>
      <c r="W438" s="81"/>
    </row>
    <row r="439" spans="1:23" s="4" customFormat="1">
      <c r="B439" s="4">
        <v>492</v>
      </c>
      <c r="C439" s="44">
        <v>5705700</v>
      </c>
      <c r="D439" s="4" t="s">
        <v>394</v>
      </c>
      <c r="E439" s="94">
        <v>250</v>
      </c>
      <c r="F439" s="94">
        <v>250</v>
      </c>
      <c r="G439" s="234">
        <f t="shared" si="35"/>
        <v>0</v>
      </c>
      <c r="H439" s="94">
        <f t="shared" si="34"/>
        <v>0</v>
      </c>
      <c r="I439" s="94">
        <v>250</v>
      </c>
      <c r="J439" s="94">
        <v>250</v>
      </c>
      <c r="K439" s="94">
        <v>250</v>
      </c>
      <c r="L439" s="94"/>
      <c r="M439" s="81"/>
      <c r="N439" s="81"/>
      <c r="O439" s="81"/>
      <c r="P439" s="81"/>
      <c r="Q439" s="81"/>
      <c r="R439" s="81"/>
      <c r="S439" s="81"/>
      <c r="T439" s="81"/>
      <c r="U439" s="81"/>
      <c r="V439" s="81"/>
      <c r="W439" s="81"/>
    </row>
    <row r="440" spans="1:23" s="4" customFormat="1">
      <c r="B440" s="4">
        <v>492</v>
      </c>
      <c r="C440" s="44">
        <v>5705700</v>
      </c>
      <c r="D440" s="4" t="s">
        <v>395</v>
      </c>
      <c r="E440" s="94">
        <v>1500</v>
      </c>
      <c r="F440" s="94">
        <v>1500</v>
      </c>
      <c r="G440" s="234">
        <f t="shared" si="35"/>
        <v>0</v>
      </c>
      <c r="H440" s="94">
        <f t="shared" si="34"/>
        <v>0</v>
      </c>
      <c r="I440" s="94">
        <v>1500</v>
      </c>
      <c r="J440" s="94">
        <v>1500</v>
      </c>
      <c r="K440" s="94">
        <v>1500</v>
      </c>
      <c r="L440" s="94"/>
      <c r="M440" s="81"/>
      <c r="N440" s="81"/>
      <c r="O440" s="81"/>
      <c r="P440" s="81"/>
      <c r="Q440" s="81"/>
      <c r="R440" s="81"/>
      <c r="S440" s="81"/>
      <c r="T440" s="81"/>
      <c r="U440" s="81"/>
      <c r="V440" s="81"/>
      <c r="W440" s="81"/>
    </row>
    <row r="441" spans="1:23" s="4" customFormat="1">
      <c r="C441" s="44"/>
      <c r="E441" s="80"/>
      <c r="F441" s="80"/>
      <c r="G441" s="232"/>
      <c r="H441" s="80">
        <f t="shared" si="34"/>
        <v>0</v>
      </c>
      <c r="I441" s="80"/>
      <c r="J441" s="80"/>
      <c r="K441" s="80"/>
      <c r="L441" s="94"/>
      <c r="M441" s="81"/>
      <c r="N441" s="81"/>
      <c r="O441" s="81"/>
      <c r="P441" s="81"/>
      <c r="Q441" s="81"/>
      <c r="R441" s="81"/>
      <c r="S441" s="81"/>
      <c r="T441" s="81"/>
      <c r="U441" s="81"/>
      <c r="V441" s="81"/>
      <c r="W441" s="81"/>
    </row>
    <row r="442" spans="1:23" s="6" customFormat="1">
      <c r="A442" s="4" t="s">
        <v>103</v>
      </c>
      <c r="B442" s="6" t="s">
        <v>104</v>
      </c>
      <c r="C442" s="43" t="s">
        <v>393</v>
      </c>
      <c r="E442" s="225">
        <f>SUM(E439:E441)</f>
        <v>1750</v>
      </c>
      <c r="F442" s="225">
        <f>SUM(F439:F441)</f>
        <v>1750</v>
      </c>
      <c r="G442" s="233">
        <f t="shared" si="35"/>
        <v>0</v>
      </c>
      <c r="H442" s="225">
        <f t="shared" si="34"/>
        <v>0</v>
      </c>
      <c r="I442" s="225">
        <f>SUM(I439:I441)</f>
        <v>1750</v>
      </c>
      <c r="J442" s="225">
        <f>SUM(J439:J441)</f>
        <v>1750</v>
      </c>
      <c r="K442" s="225">
        <f>SUM(K439:K441)</f>
        <v>1750</v>
      </c>
      <c r="L442" s="94"/>
      <c r="M442" s="81"/>
      <c r="N442" s="81"/>
      <c r="O442" s="81"/>
      <c r="P442" s="81"/>
      <c r="Q442" s="81"/>
      <c r="R442" s="81"/>
      <c r="S442" s="81"/>
      <c r="T442" s="81"/>
      <c r="U442" s="81"/>
      <c r="V442" s="81"/>
      <c r="W442" s="81"/>
    </row>
    <row r="443" spans="1:23" s="4" customFormat="1">
      <c r="C443" s="44"/>
      <c r="E443" s="80"/>
      <c r="F443" s="80"/>
      <c r="G443" s="80"/>
      <c r="H443" s="80"/>
      <c r="I443" s="80"/>
      <c r="J443" s="80"/>
      <c r="K443" s="80"/>
      <c r="L443" s="94"/>
      <c r="M443" s="81"/>
      <c r="N443" s="81"/>
      <c r="O443" s="81"/>
      <c r="P443" s="81"/>
      <c r="Q443" s="81"/>
      <c r="R443" s="81"/>
      <c r="S443" s="81"/>
      <c r="T443" s="81"/>
      <c r="U443" s="81"/>
      <c r="V443" s="81"/>
      <c r="W443" s="81"/>
    </row>
    <row r="444" spans="1:23" s="6" customFormat="1">
      <c r="A444" s="4"/>
      <c r="B444" s="6">
        <v>425</v>
      </c>
      <c r="C444" s="43" t="s">
        <v>396</v>
      </c>
      <c r="E444" s="225"/>
      <c r="F444" s="225"/>
      <c r="G444" s="225"/>
      <c r="H444" s="225">
        <f t="shared" si="34"/>
        <v>0</v>
      </c>
      <c r="I444" s="225"/>
      <c r="J444" s="225"/>
      <c r="K444" s="225"/>
      <c r="L444" s="94"/>
      <c r="M444" s="81"/>
      <c r="N444" s="81"/>
      <c r="O444" s="81"/>
      <c r="P444" s="81"/>
      <c r="Q444" s="81"/>
      <c r="R444" s="81"/>
      <c r="S444" s="81"/>
      <c r="T444" s="81"/>
      <c r="U444" s="81"/>
      <c r="V444" s="81"/>
      <c r="W444" s="81"/>
    </row>
    <row r="445" spans="1:23" s="4" customFormat="1">
      <c r="B445" s="4">
        <v>425</v>
      </c>
      <c r="C445" s="44">
        <v>5705211</v>
      </c>
      <c r="D445" s="4" t="s">
        <v>201</v>
      </c>
      <c r="E445" s="94">
        <v>4000</v>
      </c>
      <c r="F445" s="94">
        <v>4000</v>
      </c>
      <c r="G445" s="234">
        <f t="shared" si="35"/>
        <v>0</v>
      </c>
      <c r="H445" s="94">
        <f t="shared" si="34"/>
        <v>0</v>
      </c>
      <c r="I445" s="94">
        <v>4000</v>
      </c>
      <c r="J445" s="94">
        <v>4000</v>
      </c>
      <c r="K445" s="94">
        <v>4000</v>
      </c>
      <c r="L445" s="94"/>
      <c r="M445" s="81"/>
      <c r="N445" s="81"/>
      <c r="O445" s="81"/>
      <c r="P445" s="81"/>
      <c r="Q445" s="81"/>
      <c r="R445" s="81"/>
      <c r="S445" s="81"/>
      <c r="T445" s="81"/>
      <c r="U445" s="81"/>
      <c r="V445" s="81"/>
      <c r="W445" s="81"/>
    </row>
    <row r="446" spans="1:23" s="4" customFormat="1">
      <c r="B446" s="4">
        <v>425</v>
      </c>
      <c r="C446" s="44">
        <v>5705222</v>
      </c>
      <c r="D446" s="4" t="s">
        <v>397</v>
      </c>
      <c r="E446" s="80"/>
      <c r="F446" s="80">
        <v>0</v>
      </c>
      <c r="G446" s="232"/>
      <c r="H446" s="80">
        <f t="shared" si="34"/>
        <v>0</v>
      </c>
      <c r="I446" s="80">
        <v>0</v>
      </c>
      <c r="J446" s="80">
        <v>0</v>
      </c>
      <c r="K446" s="80">
        <v>0</v>
      </c>
      <c r="L446" s="94"/>
      <c r="M446" s="81"/>
      <c r="N446" s="81"/>
      <c r="O446" s="81"/>
      <c r="P446" s="81"/>
      <c r="Q446" s="81"/>
      <c r="R446" s="81"/>
      <c r="S446" s="81"/>
      <c r="T446" s="81"/>
      <c r="U446" s="81"/>
      <c r="V446" s="81"/>
      <c r="W446" s="81"/>
    </row>
    <row r="447" spans="1:23" s="4" customFormat="1">
      <c r="A447" s="4" t="s">
        <v>103</v>
      </c>
      <c r="B447" s="6" t="s">
        <v>104</v>
      </c>
      <c r="C447" s="43" t="s">
        <v>398</v>
      </c>
      <c r="D447" s="6"/>
      <c r="E447" s="225">
        <f>SUM(E445:E446)</f>
        <v>4000</v>
      </c>
      <c r="F447" s="225">
        <f>SUM(F445:F446)</f>
        <v>4000</v>
      </c>
      <c r="G447" s="225">
        <f t="shared" si="35"/>
        <v>0</v>
      </c>
      <c r="H447" s="225">
        <f t="shared" si="34"/>
        <v>0</v>
      </c>
      <c r="I447" s="225">
        <f>SUM(I445:I446)</f>
        <v>4000</v>
      </c>
      <c r="J447" s="225">
        <f>SUM(J445:J446)</f>
        <v>4000</v>
      </c>
      <c r="K447" s="225">
        <f>SUM(K445:K446)</f>
        <v>4000</v>
      </c>
      <c r="L447" s="94"/>
      <c r="M447" s="81"/>
      <c r="N447" s="81"/>
      <c r="O447" s="81"/>
      <c r="P447" s="81"/>
      <c r="Q447" s="81"/>
      <c r="R447" s="81"/>
      <c r="S447" s="81"/>
      <c r="T447" s="81"/>
      <c r="U447" s="81"/>
      <c r="V447" s="81"/>
      <c r="W447" s="81"/>
    </row>
    <row r="448" spans="1:23" s="4" customFormat="1">
      <c r="C448" s="44"/>
      <c r="E448" s="80"/>
      <c r="F448" s="80"/>
      <c r="G448" s="80"/>
      <c r="H448" s="80"/>
      <c r="I448" s="80"/>
      <c r="J448" s="80"/>
      <c r="K448" s="80"/>
      <c r="L448" s="94"/>
      <c r="M448" s="81"/>
      <c r="N448" s="81"/>
      <c r="O448" s="81"/>
      <c r="P448" s="81"/>
      <c r="Q448" s="81"/>
      <c r="R448" s="81"/>
      <c r="S448" s="81"/>
      <c r="T448" s="81"/>
      <c r="U448" s="81"/>
      <c r="V448" s="81"/>
      <c r="W448" s="81"/>
    </row>
    <row r="449" spans="1:23" s="4" customFormat="1">
      <c r="B449" s="6">
        <v>491</v>
      </c>
      <c r="C449" s="43" t="s">
        <v>399</v>
      </c>
      <c r="D449" s="6"/>
      <c r="E449" s="225"/>
      <c r="F449" s="225"/>
      <c r="G449" s="225"/>
      <c r="H449" s="225"/>
      <c r="I449" s="225"/>
      <c r="J449" s="225"/>
      <c r="K449" s="225"/>
      <c r="L449" s="94"/>
      <c r="M449" s="81"/>
      <c r="N449" s="81"/>
      <c r="O449" s="81"/>
      <c r="P449" s="81"/>
      <c r="Q449" s="81"/>
      <c r="R449" s="81"/>
      <c r="S449" s="81"/>
      <c r="T449" s="81"/>
      <c r="U449" s="81"/>
      <c r="V449" s="81"/>
      <c r="W449" s="81"/>
    </row>
    <row r="450" spans="1:23" s="4" customFormat="1">
      <c r="B450" s="4">
        <v>491</v>
      </c>
      <c r="C450" s="44">
        <v>5105111</v>
      </c>
      <c r="D450" s="4" t="s">
        <v>190</v>
      </c>
      <c r="E450" s="94">
        <v>600</v>
      </c>
      <c r="F450" s="94">
        <v>600</v>
      </c>
      <c r="G450" s="94">
        <f t="shared" si="35"/>
        <v>0</v>
      </c>
      <c r="H450" s="236">
        <f t="shared" si="34"/>
        <v>0</v>
      </c>
      <c r="I450" s="94">
        <v>600</v>
      </c>
      <c r="J450" s="94">
        <v>600</v>
      </c>
      <c r="K450" s="94">
        <v>600</v>
      </c>
      <c r="L450" s="94"/>
      <c r="M450" s="81"/>
      <c r="N450" s="81"/>
      <c r="O450" s="81"/>
      <c r="P450" s="81"/>
      <c r="Q450" s="81"/>
      <c r="R450" s="81"/>
      <c r="S450" s="81"/>
      <c r="T450" s="81"/>
      <c r="U450" s="81"/>
      <c r="V450" s="81"/>
      <c r="W450" s="81"/>
    </row>
    <row r="451" spans="1:23" s="4" customFormat="1">
      <c r="B451" s="4">
        <v>491</v>
      </c>
      <c r="C451" s="44">
        <v>5705253</v>
      </c>
      <c r="D451" s="4" t="s">
        <v>400</v>
      </c>
      <c r="E451" s="94">
        <v>3000</v>
      </c>
      <c r="F451" s="94">
        <v>3000</v>
      </c>
      <c r="G451" s="94">
        <f t="shared" si="35"/>
        <v>0</v>
      </c>
      <c r="H451" s="236">
        <f t="shared" si="34"/>
        <v>0</v>
      </c>
      <c r="I451" s="94">
        <v>3000</v>
      </c>
      <c r="J451" s="94">
        <v>3000</v>
      </c>
      <c r="K451" s="94">
        <v>3000</v>
      </c>
      <c r="L451" s="94"/>
      <c r="M451" s="81"/>
      <c r="N451" s="81"/>
      <c r="O451" s="81"/>
      <c r="P451" s="81"/>
      <c r="Q451" s="81"/>
      <c r="R451" s="81"/>
      <c r="S451" s="81"/>
      <c r="T451" s="81"/>
      <c r="U451" s="81"/>
      <c r="V451" s="81"/>
      <c r="W451" s="81"/>
    </row>
    <row r="452" spans="1:23" s="4" customFormat="1">
      <c r="B452" s="4">
        <v>491</v>
      </c>
      <c r="C452" s="44"/>
      <c r="D452" s="4" t="s">
        <v>377</v>
      </c>
      <c r="E452" s="94"/>
      <c r="F452" s="94"/>
      <c r="G452" s="94"/>
      <c r="H452" s="236">
        <f t="shared" si="34"/>
        <v>0</v>
      </c>
      <c r="I452" s="94"/>
      <c r="J452" s="94"/>
      <c r="K452" s="94"/>
      <c r="L452" s="94"/>
      <c r="M452" s="81"/>
      <c r="N452" s="81"/>
      <c r="O452" s="81"/>
      <c r="P452" s="81"/>
      <c r="Q452" s="81"/>
      <c r="R452" s="81"/>
      <c r="S452" s="81"/>
      <c r="T452" s="81"/>
      <c r="U452" s="81"/>
      <c r="V452" s="81"/>
      <c r="W452" s="81"/>
    </row>
    <row r="453" spans="1:23" s="4" customFormat="1">
      <c r="B453" s="4">
        <v>491</v>
      </c>
      <c r="C453" s="44"/>
      <c r="D453" s="4" t="s">
        <v>401</v>
      </c>
      <c r="E453" s="94"/>
      <c r="F453" s="94"/>
      <c r="G453" s="94"/>
      <c r="H453" s="236">
        <f t="shared" si="34"/>
        <v>0</v>
      </c>
      <c r="I453" s="94"/>
      <c r="J453" s="94"/>
      <c r="K453" s="94"/>
      <c r="L453" s="94"/>
      <c r="M453" s="81"/>
      <c r="N453" s="81"/>
      <c r="O453" s="81"/>
      <c r="P453" s="81"/>
      <c r="Q453" s="81"/>
      <c r="R453" s="81"/>
      <c r="S453" s="81"/>
      <c r="T453" s="81"/>
      <c r="U453" s="81"/>
      <c r="V453" s="81"/>
      <c r="W453" s="81"/>
    </row>
    <row r="454" spans="1:23" s="4" customFormat="1">
      <c r="B454" s="4">
        <v>491</v>
      </c>
      <c r="C454" s="44"/>
      <c r="D454" s="4" t="s">
        <v>118</v>
      </c>
      <c r="E454" s="94"/>
      <c r="F454" s="94"/>
      <c r="G454" s="94"/>
      <c r="H454" s="236">
        <f t="shared" si="34"/>
        <v>0</v>
      </c>
      <c r="I454" s="94"/>
      <c r="J454" s="94"/>
      <c r="K454" s="94"/>
      <c r="L454" s="94"/>
      <c r="M454" s="81"/>
      <c r="N454" s="81"/>
      <c r="O454" s="81"/>
      <c r="P454" s="81"/>
      <c r="Q454" s="81"/>
      <c r="R454" s="81"/>
      <c r="S454" s="81"/>
      <c r="T454" s="81"/>
      <c r="U454" s="81"/>
      <c r="V454" s="81"/>
      <c r="W454" s="81"/>
    </row>
    <row r="455" spans="1:23" s="4" customFormat="1">
      <c r="B455" s="4">
        <v>491</v>
      </c>
      <c r="C455" s="44">
        <v>5705253</v>
      </c>
      <c r="D455" s="4" t="s">
        <v>402</v>
      </c>
      <c r="E455" s="94">
        <v>5500</v>
      </c>
      <c r="F455" s="94">
        <v>0</v>
      </c>
      <c r="G455" s="94">
        <f t="shared" si="35"/>
        <v>0</v>
      </c>
      <c r="H455" s="236">
        <f t="shared" si="34"/>
        <v>0</v>
      </c>
      <c r="I455" s="94">
        <v>0</v>
      </c>
      <c r="J455" s="94">
        <v>0</v>
      </c>
      <c r="K455" s="94">
        <v>0</v>
      </c>
      <c r="L455" s="94"/>
      <c r="M455" s="81"/>
      <c r="N455" s="81"/>
      <c r="O455" s="81"/>
      <c r="P455" s="81"/>
      <c r="Q455" s="81"/>
      <c r="R455" s="81"/>
      <c r="S455" s="81"/>
      <c r="T455" s="81"/>
      <c r="U455" s="81"/>
      <c r="V455" s="81"/>
      <c r="W455" s="81"/>
    </row>
    <row r="456" spans="1:23" s="4" customFormat="1">
      <c r="B456" s="4">
        <v>491</v>
      </c>
      <c r="C456" s="44"/>
      <c r="E456" s="94"/>
      <c r="F456" s="94"/>
      <c r="G456" s="94"/>
      <c r="H456" s="236">
        <f t="shared" si="34"/>
        <v>0</v>
      </c>
      <c r="I456" s="94"/>
      <c r="J456" s="94"/>
      <c r="K456" s="94"/>
      <c r="L456" s="94"/>
      <c r="M456" s="81"/>
      <c r="N456" s="81"/>
      <c r="O456" s="81"/>
      <c r="P456" s="81"/>
      <c r="Q456" s="81"/>
      <c r="R456" s="81"/>
      <c r="S456" s="81"/>
      <c r="T456" s="81"/>
      <c r="U456" s="81"/>
      <c r="V456" s="81"/>
      <c r="W456" s="81"/>
    </row>
    <row r="457" spans="1:23" s="6" customFormat="1">
      <c r="A457" s="4" t="s">
        <v>391</v>
      </c>
      <c r="B457" s="82" t="s">
        <v>104</v>
      </c>
      <c r="C457" s="43" t="s">
        <v>403</v>
      </c>
      <c r="E457" s="225">
        <f>SUM(E450:E456)</f>
        <v>9100</v>
      </c>
      <c r="F457" s="225">
        <f>SUM(F450:F456)</f>
        <v>3600</v>
      </c>
      <c r="G457" s="233">
        <f t="shared" si="35"/>
        <v>0</v>
      </c>
      <c r="H457" s="237">
        <f t="shared" si="34"/>
        <v>0</v>
      </c>
      <c r="I457" s="225">
        <f>SUM(I450:I456)</f>
        <v>3600</v>
      </c>
      <c r="J457" s="225">
        <f>SUM(J450:J456)</f>
        <v>3600</v>
      </c>
      <c r="K457" s="225">
        <f>SUM(K450:K456)</f>
        <v>3600</v>
      </c>
      <c r="L457" s="81"/>
      <c r="M457" s="81"/>
      <c r="N457" s="81"/>
      <c r="O457" s="81"/>
      <c r="P457" s="81"/>
      <c r="Q457" s="81"/>
      <c r="R457" s="81"/>
      <c r="S457" s="81"/>
      <c r="T457" s="81"/>
      <c r="U457" s="81"/>
      <c r="V457" s="81"/>
      <c r="W457" s="81"/>
    </row>
    <row r="458" spans="1:23" s="4" customFormat="1">
      <c r="C458" s="44"/>
      <c r="E458" s="80"/>
      <c r="F458" s="80"/>
      <c r="G458" s="80"/>
      <c r="H458" s="80"/>
      <c r="I458" s="80"/>
      <c r="J458" s="80"/>
      <c r="K458" s="80"/>
      <c r="L458" s="81"/>
      <c r="M458" s="81"/>
      <c r="N458" s="81"/>
      <c r="O458" s="81"/>
      <c r="P458" s="81"/>
      <c r="Q458" s="81"/>
      <c r="R458" s="81"/>
      <c r="S458" s="81"/>
      <c r="T458" s="81"/>
      <c r="U458" s="81"/>
      <c r="V458" s="81"/>
      <c r="W458" s="81"/>
    </row>
    <row r="459" spans="1:23" s="6" customFormat="1">
      <c r="A459" s="4"/>
      <c r="B459" s="6">
        <v>510</v>
      </c>
      <c r="C459" s="43" t="s">
        <v>404</v>
      </c>
      <c r="E459" s="225"/>
      <c r="F459" s="225"/>
      <c r="G459" s="225"/>
      <c r="H459" s="225"/>
      <c r="I459" s="225"/>
      <c r="J459" s="225"/>
      <c r="K459" s="225"/>
      <c r="L459" s="94"/>
      <c r="M459" s="81"/>
      <c r="N459" s="81"/>
      <c r="O459" s="81"/>
      <c r="P459" s="81"/>
      <c r="Q459" s="81"/>
      <c r="R459" s="81"/>
      <c r="S459" s="81"/>
      <c r="T459" s="81"/>
      <c r="U459" s="81"/>
      <c r="V459" s="81"/>
      <c r="W459" s="81"/>
    </row>
    <row r="460" spans="1:23" s="4" customFormat="1">
      <c r="B460" s="4">
        <v>510</v>
      </c>
      <c r="C460" s="44">
        <v>5105111</v>
      </c>
      <c r="D460" s="4" t="s">
        <v>405</v>
      </c>
      <c r="E460" s="94">
        <v>3000</v>
      </c>
      <c r="F460" s="94">
        <v>0</v>
      </c>
      <c r="G460" s="234">
        <f t="shared" si="35"/>
        <v>0</v>
      </c>
      <c r="H460" s="94">
        <f t="shared" si="34"/>
        <v>0</v>
      </c>
      <c r="I460" s="94">
        <v>0</v>
      </c>
      <c r="J460" s="94">
        <v>0</v>
      </c>
      <c r="K460" s="94">
        <v>0</v>
      </c>
      <c r="L460" s="81"/>
      <c r="M460" s="81"/>
      <c r="N460" s="81"/>
      <c r="O460" s="81"/>
      <c r="P460" s="81"/>
      <c r="Q460" s="81"/>
      <c r="R460" s="81"/>
      <c r="S460" s="81"/>
      <c r="T460" s="81"/>
      <c r="U460" s="81"/>
      <c r="V460" s="81"/>
      <c r="W460" s="81"/>
    </row>
    <row r="461" spans="1:23" s="4" customFormat="1">
      <c r="B461" s="4">
        <v>510</v>
      </c>
      <c r="C461" s="44"/>
      <c r="D461" s="4" t="s">
        <v>149</v>
      </c>
      <c r="E461" s="94">
        <v>0</v>
      </c>
      <c r="F461" s="94">
        <v>0</v>
      </c>
      <c r="G461" s="234"/>
      <c r="H461" s="94">
        <f t="shared" si="34"/>
        <v>0</v>
      </c>
      <c r="I461" s="94">
        <v>0</v>
      </c>
      <c r="J461" s="94">
        <v>0</v>
      </c>
      <c r="K461" s="94">
        <v>0</v>
      </c>
      <c r="L461" s="81"/>
      <c r="M461" s="81"/>
      <c r="N461" s="81"/>
      <c r="O461" s="81"/>
      <c r="P461" s="81"/>
      <c r="Q461" s="81"/>
      <c r="R461" s="81"/>
      <c r="S461" s="81"/>
      <c r="T461" s="81"/>
      <c r="U461" s="81"/>
      <c r="V461" s="81"/>
      <c r="W461" s="81"/>
    </row>
    <row r="462" spans="1:23" s="4" customFormat="1">
      <c r="B462" s="4">
        <v>510</v>
      </c>
      <c r="C462" s="44"/>
      <c r="E462" s="80"/>
      <c r="F462" s="80"/>
      <c r="G462" s="232"/>
      <c r="H462" s="80">
        <f t="shared" ref="H462:H524" si="36">I462-F462</f>
        <v>0</v>
      </c>
      <c r="I462" s="80"/>
      <c r="J462" s="80"/>
      <c r="K462" s="80"/>
      <c r="L462" s="81"/>
      <c r="M462" s="81"/>
      <c r="N462" s="81"/>
      <c r="O462" s="81"/>
      <c r="P462" s="81"/>
      <c r="Q462" s="81"/>
      <c r="R462" s="81"/>
      <c r="S462" s="81"/>
      <c r="T462" s="81"/>
      <c r="U462" s="81"/>
      <c r="V462" s="81"/>
      <c r="W462" s="81"/>
    </row>
    <row r="463" spans="1:23" s="4" customFormat="1">
      <c r="A463" s="83" t="s">
        <v>406</v>
      </c>
      <c r="B463" s="84" t="s">
        <v>104</v>
      </c>
      <c r="C463" s="43" t="s">
        <v>407</v>
      </c>
      <c r="D463" s="6"/>
      <c r="E463" s="225">
        <f>SUM(E460:E462)</f>
        <v>3000</v>
      </c>
      <c r="F463" s="225">
        <f>SUM(F460:F462)</f>
        <v>0</v>
      </c>
      <c r="G463" s="233">
        <f t="shared" si="35"/>
        <v>0</v>
      </c>
      <c r="H463" s="225">
        <f t="shared" si="36"/>
        <v>0</v>
      </c>
      <c r="I463" s="225">
        <f>SUM(I460:I462)</f>
        <v>0</v>
      </c>
      <c r="J463" s="225">
        <f>SUM(J460:J462)</f>
        <v>0</v>
      </c>
      <c r="K463" s="225">
        <f>SUM(K460:K462)</f>
        <v>0</v>
      </c>
      <c r="L463" s="81"/>
      <c r="M463" s="81"/>
      <c r="N463" s="81"/>
      <c r="O463" s="81"/>
      <c r="P463" s="81"/>
      <c r="Q463" s="81"/>
      <c r="R463" s="81"/>
      <c r="S463" s="81"/>
      <c r="T463" s="81"/>
      <c r="U463" s="81"/>
      <c r="V463" s="81"/>
      <c r="W463" s="81"/>
    </row>
    <row r="464" spans="1:23" s="4" customFormat="1">
      <c r="C464" s="44"/>
      <c r="E464" s="80"/>
      <c r="F464" s="80"/>
      <c r="G464" s="80"/>
      <c r="H464" s="80"/>
      <c r="I464" s="80"/>
      <c r="J464" s="80"/>
      <c r="K464" s="80"/>
      <c r="L464" s="81"/>
      <c r="M464" s="81"/>
      <c r="N464" s="81"/>
      <c r="O464" s="81"/>
      <c r="P464" s="81"/>
      <c r="Q464" s="81"/>
      <c r="R464" s="81"/>
      <c r="S464" s="81"/>
      <c r="T464" s="81"/>
      <c r="U464" s="81"/>
      <c r="V464" s="81"/>
      <c r="W464" s="81"/>
    </row>
    <row r="465" spans="1:23" s="4" customFormat="1">
      <c r="B465" s="6">
        <v>541</v>
      </c>
      <c r="C465" s="43" t="s">
        <v>408</v>
      </c>
      <c r="D465" s="6"/>
      <c r="E465" s="225"/>
      <c r="F465" s="225"/>
      <c r="G465" s="225"/>
      <c r="H465" s="225"/>
      <c r="I465" s="225"/>
      <c r="J465" s="225"/>
      <c r="K465" s="225"/>
      <c r="L465" s="94"/>
      <c r="M465" s="81"/>
      <c r="N465" s="81"/>
      <c r="O465" s="81"/>
      <c r="P465" s="81"/>
      <c r="Q465" s="81"/>
      <c r="R465" s="81"/>
      <c r="S465" s="81"/>
      <c r="T465" s="81"/>
      <c r="U465" s="81"/>
      <c r="V465" s="81"/>
      <c r="W465" s="81"/>
    </row>
    <row r="466" spans="1:23" s="4" customFormat="1">
      <c r="B466" s="4">
        <v>541</v>
      </c>
      <c r="C466" s="44">
        <v>5105115</v>
      </c>
      <c r="D466" s="4" t="s">
        <v>409</v>
      </c>
      <c r="E466" s="94">
        <v>31954</v>
      </c>
      <c r="F466" s="94">
        <v>34034</v>
      </c>
      <c r="G466" s="234">
        <f t="shared" si="35"/>
        <v>0.81169806596983163</v>
      </c>
      <c r="H466" s="94">
        <f t="shared" si="36"/>
        <v>25937</v>
      </c>
      <c r="I466" s="94">
        <v>59971</v>
      </c>
      <c r="J466" s="94">
        <v>59971</v>
      </c>
      <c r="K466" s="94">
        <v>59971</v>
      </c>
      <c r="L466" s="94">
        <f>SUM(I466:I467,I481)</f>
        <v>73775</v>
      </c>
      <c r="M466" s="81"/>
      <c r="N466" s="81"/>
      <c r="O466" s="81"/>
      <c r="P466" s="81"/>
      <c r="Q466" s="81"/>
      <c r="R466" s="81"/>
      <c r="S466" s="81"/>
      <c r="T466" s="81"/>
      <c r="U466" s="81"/>
      <c r="V466" s="81"/>
      <c r="W466" s="81"/>
    </row>
    <row r="467" spans="1:23" s="4" customFormat="1">
      <c r="B467" s="4">
        <v>541</v>
      </c>
      <c r="C467" s="44">
        <v>5105115</v>
      </c>
      <c r="D467" s="4" t="s">
        <v>410</v>
      </c>
      <c r="E467" s="94">
        <v>0</v>
      </c>
      <c r="F467" s="94">
        <v>0</v>
      </c>
      <c r="G467" s="234"/>
      <c r="H467" s="94">
        <f t="shared" si="36"/>
        <v>5317</v>
      </c>
      <c r="I467" s="94">
        <v>5317</v>
      </c>
      <c r="J467" s="94">
        <v>5317</v>
      </c>
      <c r="K467" s="94">
        <v>5317</v>
      </c>
      <c r="L467" s="94"/>
      <c r="M467" s="81"/>
      <c r="N467" s="81"/>
      <c r="O467" s="81"/>
      <c r="P467" s="81"/>
      <c r="Q467" s="81"/>
      <c r="R467" s="81"/>
      <c r="S467" s="81"/>
      <c r="T467" s="81"/>
      <c r="U467" s="81"/>
      <c r="V467" s="81"/>
      <c r="W467" s="81"/>
    </row>
    <row r="468" spans="1:23" s="6" customFormat="1">
      <c r="A468" s="4"/>
      <c r="B468" s="4">
        <v>541</v>
      </c>
      <c r="C468" s="44">
        <v>5705422</v>
      </c>
      <c r="D468" s="4" t="s">
        <v>411</v>
      </c>
      <c r="E468" s="94">
        <v>1775</v>
      </c>
      <c r="F468" s="94">
        <v>1775</v>
      </c>
      <c r="G468" s="234">
        <f t="shared" ref="G468:G530" si="37">(I468-F468)/E468</f>
        <v>0.12676056338028169</v>
      </c>
      <c r="H468" s="94">
        <f t="shared" si="36"/>
        <v>225</v>
      </c>
      <c r="I468" s="94">
        <v>2000</v>
      </c>
      <c r="J468" s="94">
        <v>2000</v>
      </c>
      <c r="K468" s="94">
        <v>2000</v>
      </c>
      <c r="L468" s="94"/>
      <c r="M468" s="81"/>
      <c r="N468" s="81"/>
      <c r="O468" s="81"/>
      <c r="P468" s="81"/>
      <c r="Q468" s="81"/>
      <c r="R468" s="81"/>
      <c r="S468" s="81"/>
      <c r="T468" s="81"/>
      <c r="U468" s="81"/>
      <c r="V468" s="81"/>
      <c r="W468" s="81"/>
    </row>
    <row r="469" spans="1:23" s="6" customFormat="1">
      <c r="A469" s="4"/>
      <c r="B469" s="4">
        <v>541</v>
      </c>
      <c r="C469" s="44">
        <v>5705715</v>
      </c>
      <c r="D469" s="4" t="s">
        <v>412</v>
      </c>
      <c r="E469" s="94">
        <v>500</v>
      </c>
      <c r="F469" s="94">
        <v>500</v>
      </c>
      <c r="G469" s="234">
        <f t="shared" si="37"/>
        <v>0</v>
      </c>
      <c r="H469" s="94">
        <f t="shared" si="36"/>
        <v>0</v>
      </c>
      <c r="I469" s="94">
        <v>500</v>
      </c>
      <c r="J469" s="94">
        <v>500</v>
      </c>
      <c r="K469" s="94">
        <v>500</v>
      </c>
      <c r="L469" s="94"/>
      <c r="M469" s="81"/>
      <c r="N469" s="81"/>
      <c r="O469" s="81"/>
      <c r="P469" s="81"/>
      <c r="Q469" s="81"/>
      <c r="R469" s="81"/>
      <c r="S469" s="81"/>
      <c r="T469" s="81"/>
      <c r="U469" s="81"/>
      <c r="V469" s="81"/>
      <c r="W469" s="81"/>
    </row>
    <row r="470" spans="1:23" s="4" customFormat="1">
      <c r="B470" s="4">
        <v>541</v>
      </c>
      <c r="C470" s="44">
        <v>5705420</v>
      </c>
      <c r="D470" s="4" t="s">
        <v>118</v>
      </c>
      <c r="E470" s="94">
        <v>750</v>
      </c>
      <c r="F470" s="94">
        <v>750</v>
      </c>
      <c r="G470" s="234">
        <f t="shared" si="37"/>
        <v>0</v>
      </c>
      <c r="H470" s="94">
        <f t="shared" si="36"/>
        <v>0</v>
      </c>
      <c r="I470" s="94">
        <v>750</v>
      </c>
      <c r="J470" s="94">
        <v>750</v>
      </c>
      <c r="K470" s="94">
        <v>750</v>
      </c>
      <c r="L470" s="94">
        <f>SUM(I468:I476,I484:I486)</f>
        <v>55140</v>
      </c>
      <c r="M470" s="81"/>
      <c r="N470" s="81"/>
      <c r="O470" s="81"/>
      <c r="P470" s="81"/>
      <c r="Q470" s="81"/>
      <c r="R470" s="81"/>
      <c r="S470" s="81"/>
      <c r="T470" s="81"/>
      <c r="U470" s="81"/>
      <c r="V470" s="81"/>
      <c r="W470" s="81"/>
    </row>
    <row r="471" spans="1:23" s="4" customFormat="1">
      <c r="B471" s="4">
        <v>541</v>
      </c>
      <c r="C471" s="44">
        <v>5705407</v>
      </c>
      <c r="D471" s="4" t="s">
        <v>413</v>
      </c>
      <c r="E471" s="94">
        <v>1400</v>
      </c>
      <c r="F471" s="94">
        <v>1400</v>
      </c>
      <c r="G471" s="234">
        <f t="shared" si="37"/>
        <v>0.42857142857142855</v>
      </c>
      <c r="H471" s="94">
        <f t="shared" si="36"/>
        <v>600</v>
      </c>
      <c r="I471" s="94">
        <v>2000</v>
      </c>
      <c r="J471" s="94">
        <v>2000</v>
      </c>
      <c r="K471" s="94">
        <v>2000</v>
      </c>
      <c r="L471" s="94"/>
      <c r="M471" s="81"/>
      <c r="N471" s="81"/>
      <c r="O471" s="81"/>
      <c r="P471" s="81"/>
      <c r="Q471" s="81"/>
      <c r="R471" s="81"/>
      <c r="S471" s="81"/>
      <c r="T471" s="81"/>
      <c r="U471" s="81"/>
      <c r="V471" s="81"/>
      <c r="W471" s="81"/>
    </row>
    <row r="472" spans="1:23" s="4" customFormat="1">
      <c r="B472" s="4">
        <v>541</v>
      </c>
      <c r="C472" s="44">
        <v>5705241</v>
      </c>
      <c r="D472" s="4" t="s">
        <v>414</v>
      </c>
      <c r="E472" s="94">
        <v>300</v>
      </c>
      <c r="F472" s="94">
        <v>300</v>
      </c>
      <c r="G472" s="234">
        <f t="shared" si="37"/>
        <v>0</v>
      </c>
      <c r="H472" s="94">
        <f t="shared" si="36"/>
        <v>0</v>
      </c>
      <c r="I472" s="94">
        <v>300</v>
      </c>
      <c r="J472" s="94">
        <v>300</v>
      </c>
      <c r="K472" s="94">
        <v>300</v>
      </c>
      <c r="L472" s="94"/>
      <c r="M472" s="81"/>
      <c r="N472" s="81"/>
      <c r="O472" s="81"/>
      <c r="P472" s="81"/>
      <c r="Q472" s="81"/>
      <c r="R472" s="81"/>
      <c r="S472" s="81"/>
      <c r="T472" s="81"/>
      <c r="U472" s="81"/>
      <c r="V472" s="81"/>
      <c r="W472" s="81"/>
    </row>
    <row r="473" spans="1:23" s="4" customFormat="1">
      <c r="B473" s="4">
        <v>541</v>
      </c>
      <c r="C473" s="44">
        <v>5705491</v>
      </c>
      <c r="D473" s="4" t="s">
        <v>415</v>
      </c>
      <c r="E473" s="94">
        <v>4000</v>
      </c>
      <c r="F473" s="94">
        <v>4000</v>
      </c>
      <c r="G473" s="234">
        <f t="shared" si="37"/>
        <v>0</v>
      </c>
      <c r="H473" s="94">
        <f t="shared" si="36"/>
        <v>0</v>
      </c>
      <c r="I473" s="94">
        <v>4000</v>
      </c>
      <c r="J473" s="94">
        <v>4000</v>
      </c>
      <c r="K473" s="94">
        <v>4000</v>
      </c>
      <c r="L473" s="94"/>
      <c r="M473" s="81"/>
      <c r="N473" s="81"/>
      <c r="O473" s="81"/>
      <c r="P473" s="81"/>
      <c r="Q473" s="81"/>
      <c r="R473" s="81"/>
      <c r="S473" s="81"/>
      <c r="T473" s="81"/>
      <c r="U473" s="81"/>
      <c r="V473" s="81"/>
      <c r="W473" s="81"/>
    </row>
    <row r="474" spans="1:23" s="4" customFormat="1">
      <c r="B474" s="4">
        <v>541</v>
      </c>
      <c r="C474" s="44">
        <v>5705700</v>
      </c>
      <c r="D474" s="4" t="s">
        <v>416</v>
      </c>
      <c r="E474" s="94">
        <v>890</v>
      </c>
      <c r="F474" s="94">
        <v>890</v>
      </c>
      <c r="G474" s="234">
        <f t="shared" si="37"/>
        <v>0</v>
      </c>
      <c r="H474" s="94">
        <f t="shared" si="36"/>
        <v>0</v>
      </c>
      <c r="I474" s="94">
        <v>890</v>
      </c>
      <c r="J474" s="94">
        <v>890</v>
      </c>
      <c r="K474" s="94">
        <v>890</v>
      </c>
      <c r="L474" s="94"/>
      <c r="M474" s="81"/>
      <c r="N474" s="81"/>
      <c r="O474" s="81"/>
      <c r="P474" s="81"/>
      <c r="Q474" s="81"/>
      <c r="R474" s="81"/>
      <c r="S474" s="81"/>
      <c r="T474" s="81"/>
      <c r="U474" s="81"/>
      <c r="V474" s="81"/>
      <c r="W474" s="81"/>
    </row>
    <row r="475" spans="1:23" s="4" customFormat="1">
      <c r="B475" s="4">
        <v>541</v>
      </c>
      <c r="C475" s="44">
        <v>5705711</v>
      </c>
      <c r="D475" s="4" t="s">
        <v>417</v>
      </c>
      <c r="E475" s="94">
        <v>500</v>
      </c>
      <c r="F475" s="94">
        <v>500</v>
      </c>
      <c r="G475" s="234">
        <f t="shared" si="37"/>
        <v>0</v>
      </c>
      <c r="H475" s="94">
        <f t="shared" si="36"/>
        <v>0</v>
      </c>
      <c r="I475" s="94">
        <v>500</v>
      </c>
      <c r="J475" s="94">
        <v>500</v>
      </c>
      <c r="K475" s="94">
        <v>500</v>
      </c>
      <c r="L475" s="94"/>
      <c r="M475" s="81"/>
      <c r="N475" s="81"/>
      <c r="O475" s="81"/>
      <c r="P475" s="81"/>
      <c r="Q475" s="81"/>
      <c r="R475" s="81"/>
      <c r="S475" s="81"/>
      <c r="T475" s="81"/>
      <c r="U475" s="81"/>
      <c r="V475" s="81"/>
      <c r="W475" s="81"/>
    </row>
    <row r="476" spans="1:23" s="4" customFormat="1">
      <c r="B476" s="4">
        <v>541</v>
      </c>
      <c r="C476" s="44"/>
      <c r="D476" s="4" t="s">
        <v>149</v>
      </c>
      <c r="E476" s="94">
        <v>0</v>
      </c>
      <c r="F476" s="94">
        <v>0</v>
      </c>
      <c r="G476" s="234"/>
      <c r="H476" s="94">
        <f t="shared" si="36"/>
        <v>0</v>
      </c>
      <c r="I476" s="94">
        <v>0</v>
      </c>
      <c r="J476" s="94">
        <v>0</v>
      </c>
      <c r="K476" s="94">
        <v>0</v>
      </c>
      <c r="L476" s="94"/>
      <c r="M476" s="81"/>
      <c r="N476" s="81"/>
      <c r="O476" s="81"/>
      <c r="P476" s="81"/>
      <c r="Q476" s="81"/>
      <c r="R476" s="81"/>
      <c r="S476" s="81"/>
      <c r="T476" s="81"/>
      <c r="U476" s="81"/>
      <c r="V476" s="81"/>
      <c r="W476" s="81"/>
    </row>
    <row r="477" spans="1:23" s="4" customFormat="1">
      <c r="B477" s="4">
        <v>541</v>
      </c>
      <c r="C477" s="44"/>
      <c r="E477" s="94"/>
      <c r="F477" s="94"/>
      <c r="G477" s="234"/>
      <c r="H477" s="94">
        <f t="shared" si="36"/>
        <v>0</v>
      </c>
      <c r="I477" s="94"/>
      <c r="J477" s="94"/>
      <c r="K477" s="94"/>
      <c r="L477" s="94"/>
      <c r="M477" s="81"/>
      <c r="N477" s="81"/>
      <c r="O477" s="81"/>
      <c r="P477" s="81"/>
      <c r="Q477" s="81"/>
      <c r="R477" s="81"/>
      <c r="S477" s="81"/>
      <c r="T477" s="81"/>
      <c r="U477" s="81"/>
      <c r="V477" s="81"/>
      <c r="W477" s="81"/>
    </row>
    <row r="478" spans="1:23" s="4" customFormat="1">
      <c r="A478" t="s">
        <v>406</v>
      </c>
      <c r="B478" s="84" t="s">
        <v>104</v>
      </c>
      <c r="C478" s="43" t="s">
        <v>418</v>
      </c>
      <c r="D478" s="6"/>
      <c r="E478" s="225">
        <f>SUM(E466:E477)</f>
        <v>42069</v>
      </c>
      <c r="F478" s="225">
        <f>SUM(F466:F477)</f>
        <v>44149</v>
      </c>
      <c r="G478" s="233">
        <f t="shared" si="37"/>
        <v>0.76253298153034299</v>
      </c>
      <c r="H478" s="225">
        <f t="shared" si="36"/>
        <v>32079</v>
      </c>
      <c r="I478" s="225">
        <f>SUM(I466:I477)</f>
        <v>76228</v>
      </c>
      <c r="J478" s="225">
        <f>SUM(J466:J477)</f>
        <v>76228</v>
      </c>
      <c r="K478" s="225">
        <f>SUM(K466:K477)</f>
        <v>76228</v>
      </c>
      <c r="L478" s="81"/>
      <c r="M478" s="81"/>
      <c r="N478" s="81"/>
      <c r="O478" s="81"/>
      <c r="P478" s="81"/>
      <c r="Q478" s="81"/>
      <c r="R478" s="81"/>
      <c r="S478" s="81"/>
      <c r="T478" s="81"/>
      <c r="U478" s="81"/>
      <c r="V478" s="81"/>
      <c r="W478" s="81"/>
    </row>
    <row r="479" spans="1:23" s="4" customFormat="1">
      <c r="C479" s="44"/>
      <c r="E479" s="80"/>
      <c r="F479" s="80"/>
      <c r="G479" s="80"/>
      <c r="H479" s="80"/>
      <c r="I479" s="80"/>
      <c r="J479" s="80"/>
      <c r="K479" s="80"/>
      <c r="L479" s="81"/>
      <c r="M479" s="81"/>
      <c r="N479" s="81"/>
      <c r="O479" s="81"/>
      <c r="P479" s="81"/>
      <c r="Q479" s="81"/>
      <c r="R479" s="81"/>
      <c r="S479" s="81"/>
      <c r="T479" s="81"/>
      <c r="U479" s="81"/>
      <c r="V479" s="81"/>
      <c r="W479" s="81"/>
    </row>
    <row r="480" spans="1:23" s="4" customFormat="1">
      <c r="B480" s="6">
        <v>543</v>
      </c>
      <c r="C480" s="43" t="s">
        <v>419</v>
      </c>
      <c r="D480" s="6"/>
      <c r="E480" s="225"/>
      <c r="F480" s="225"/>
      <c r="G480" s="225"/>
      <c r="H480" s="225"/>
      <c r="I480" s="225"/>
      <c r="J480" s="225"/>
      <c r="K480" s="225"/>
      <c r="L480" s="94"/>
      <c r="M480" s="81"/>
      <c r="N480" s="81"/>
      <c r="O480" s="81"/>
      <c r="P480" s="81"/>
      <c r="Q480" s="81"/>
      <c r="R480" s="81"/>
      <c r="S480" s="81"/>
      <c r="T480" s="81"/>
      <c r="U480" s="81"/>
      <c r="V480" s="81"/>
      <c r="W480" s="81"/>
    </row>
    <row r="481" spans="1:23" s="4" customFormat="1">
      <c r="B481" s="4">
        <v>543</v>
      </c>
      <c r="C481" s="44">
        <v>5105115</v>
      </c>
      <c r="D481" s="4" t="s">
        <v>420</v>
      </c>
      <c r="E481" s="94">
        <v>8487</v>
      </c>
      <c r="F481" s="94">
        <v>8487</v>
      </c>
      <c r="G481" s="234">
        <f t="shared" si="37"/>
        <v>0</v>
      </c>
      <c r="H481" s="94">
        <f t="shared" si="36"/>
        <v>0</v>
      </c>
      <c r="I481" s="94">
        <v>8487</v>
      </c>
      <c r="J481" s="94">
        <v>8487</v>
      </c>
      <c r="K481" s="94">
        <v>8487</v>
      </c>
      <c r="L481" s="94"/>
      <c r="M481" s="81"/>
      <c r="N481" s="81"/>
      <c r="O481" s="81"/>
      <c r="P481" s="81"/>
      <c r="Q481" s="81"/>
      <c r="R481" s="81"/>
      <c r="S481" s="81"/>
      <c r="T481" s="81"/>
      <c r="U481" s="81"/>
      <c r="V481" s="81"/>
      <c r="W481" s="81"/>
    </row>
    <row r="482" spans="1:23" s="4" customFormat="1">
      <c r="B482" s="4">
        <v>543</v>
      </c>
      <c r="C482" s="44">
        <v>5705718</v>
      </c>
      <c r="D482" s="4" t="s">
        <v>145</v>
      </c>
      <c r="E482" s="94">
        <v>300</v>
      </c>
      <c r="F482" s="94">
        <v>0</v>
      </c>
      <c r="G482" s="234">
        <f t="shared" si="37"/>
        <v>0</v>
      </c>
      <c r="H482" s="94">
        <f t="shared" si="36"/>
        <v>0</v>
      </c>
      <c r="I482" s="94">
        <v>0</v>
      </c>
      <c r="J482" s="94">
        <v>0</v>
      </c>
      <c r="K482" s="94">
        <v>0</v>
      </c>
      <c r="L482" s="94"/>
      <c r="M482" s="81"/>
      <c r="N482" s="81"/>
      <c r="O482" s="81"/>
      <c r="P482" s="81"/>
      <c r="Q482" s="81"/>
      <c r="R482" s="81"/>
      <c r="S482" s="81"/>
      <c r="T482" s="81"/>
      <c r="U482" s="81"/>
      <c r="V482" s="81"/>
      <c r="W482" s="81"/>
    </row>
    <row r="483" spans="1:23" s="4" customFormat="1">
      <c r="B483" s="4">
        <v>543</v>
      </c>
      <c r="C483" s="44"/>
      <c r="D483" s="4" t="s">
        <v>118</v>
      </c>
      <c r="E483" s="94"/>
      <c r="F483" s="94"/>
      <c r="G483" s="234"/>
      <c r="H483" s="94">
        <f t="shared" si="36"/>
        <v>0</v>
      </c>
      <c r="I483" s="94"/>
      <c r="J483" s="94"/>
      <c r="K483" s="94"/>
      <c r="L483" s="80"/>
      <c r="M483" s="81"/>
      <c r="N483" s="81"/>
      <c r="O483" s="81"/>
      <c r="P483" s="81"/>
      <c r="Q483" s="81"/>
      <c r="R483" s="81"/>
      <c r="S483" s="81"/>
      <c r="T483" s="81"/>
      <c r="U483" s="81"/>
      <c r="V483" s="81"/>
      <c r="W483" s="81"/>
    </row>
    <row r="484" spans="1:23" s="4" customFormat="1">
      <c r="B484" s="4">
        <v>543</v>
      </c>
      <c r="C484" s="44">
        <v>5705491</v>
      </c>
      <c r="D484" s="4" t="s">
        <v>421</v>
      </c>
      <c r="E484" s="94">
        <v>4200</v>
      </c>
      <c r="F484" s="94">
        <v>4200</v>
      </c>
      <c r="G484" s="234">
        <f t="shared" si="37"/>
        <v>0</v>
      </c>
      <c r="H484" s="94">
        <f t="shared" si="36"/>
        <v>0</v>
      </c>
      <c r="I484" s="94">
        <v>4200</v>
      </c>
      <c r="J484" s="94">
        <v>4200</v>
      </c>
      <c r="K484" s="94">
        <v>4200</v>
      </c>
      <c r="L484" s="94"/>
      <c r="M484" s="81"/>
      <c r="N484" s="81"/>
      <c r="O484" s="81"/>
      <c r="P484" s="81"/>
      <c r="Q484" s="81"/>
      <c r="R484" s="81"/>
      <c r="S484" s="81"/>
      <c r="T484" s="81"/>
      <c r="U484" s="81"/>
      <c r="V484" s="81"/>
      <c r="W484" s="81"/>
    </row>
    <row r="485" spans="1:23" s="4" customFormat="1">
      <c r="B485" s="4">
        <v>543</v>
      </c>
      <c r="C485" s="44"/>
      <c r="D485" s="4" t="s">
        <v>120</v>
      </c>
      <c r="E485" s="94"/>
      <c r="F485" s="94"/>
      <c r="G485" s="234"/>
      <c r="H485" s="94">
        <f t="shared" si="36"/>
        <v>0</v>
      </c>
      <c r="I485" s="94"/>
      <c r="J485" s="94"/>
      <c r="K485" s="94"/>
      <c r="L485" s="94"/>
      <c r="M485" s="81"/>
      <c r="N485" s="81"/>
      <c r="O485" s="81"/>
      <c r="P485" s="81"/>
      <c r="Q485" s="81"/>
      <c r="R485" s="81"/>
      <c r="S485" s="81"/>
      <c r="T485" s="81"/>
      <c r="U485" s="81"/>
      <c r="V485" s="81"/>
      <c r="W485" s="81"/>
    </row>
    <row r="486" spans="1:23" s="4" customFormat="1">
      <c r="B486" s="4">
        <v>543</v>
      </c>
      <c r="C486" s="44">
        <v>5795785</v>
      </c>
      <c r="D486" s="4" t="s">
        <v>422</v>
      </c>
      <c r="E486" s="94">
        <v>40000</v>
      </c>
      <c r="F486" s="94">
        <v>40000</v>
      </c>
      <c r="G486" s="234">
        <f t="shared" si="37"/>
        <v>0</v>
      </c>
      <c r="H486" s="94">
        <f t="shared" si="36"/>
        <v>0</v>
      </c>
      <c r="I486" s="94">
        <v>40000</v>
      </c>
      <c r="J486" s="94">
        <v>40000</v>
      </c>
      <c r="K486" s="94">
        <v>40000</v>
      </c>
      <c r="L486" s="94"/>
      <c r="M486" s="81"/>
      <c r="N486" s="81"/>
      <c r="O486" s="81"/>
      <c r="P486" s="81"/>
      <c r="Q486" s="81"/>
      <c r="R486" s="81"/>
      <c r="S486" s="81"/>
      <c r="T486" s="81"/>
      <c r="U486" s="81"/>
      <c r="V486" s="81"/>
      <c r="W486" s="81"/>
    </row>
    <row r="487" spans="1:23" s="4" customFormat="1">
      <c r="C487" s="44"/>
      <c r="E487" s="94"/>
      <c r="F487" s="94"/>
      <c r="G487" s="234"/>
      <c r="H487" s="94">
        <f t="shared" si="36"/>
        <v>0</v>
      </c>
      <c r="I487" s="94"/>
      <c r="J487" s="94"/>
      <c r="K487" s="94"/>
      <c r="L487" s="94"/>
      <c r="M487" s="81"/>
      <c r="N487" s="81"/>
      <c r="O487" s="81"/>
      <c r="P487" s="81"/>
      <c r="Q487" s="81"/>
      <c r="R487" s="81"/>
      <c r="S487" s="81"/>
      <c r="T487" s="81"/>
      <c r="U487" s="81"/>
      <c r="V487" s="81"/>
      <c r="W487" s="81"/>
    </row>
    <row r="488" spans="1:23" s="4" customFormat="1">
      <c r="A488" t="s">
        <v>406</v>
      </c>
      <c r="B488" s="6" t="s">
        <v>104</v>
      </c>
      <c r="C488" s="43" t="s">
        <v>423</v>
      </c>
      <c r="D488" s="6"/>
      <c r="E488" s="225">
        <f>SUM(E481:E487)</f>
        <v>52987</v>
      </c>
      <c r="F488" s="225">
        <f>SUM(F481:F487)</f>
        <v>52687</v>
      </c>
      <c r="G488" s="233">
        <f t="shared" si="37"/>
        <v>0</v>
      </c>
      <c r="H488" s="225">
        <f t="shared" si="36"/>
        <v>0</v>
      </c>
      <c r="I488" s="225">
        <f>SUM(I481:I487)</f>
        <v>52687</v>
      </c>
      <c r="J488" s="225">
        <f>SUM(J481:J487)</f>
        <v>52687</v>
      </c>
      <c r="K488" s="225">
        <f>SUM(K481:K487)</f>
        <v>52687</v>
      </c>
      <c r="L488" s="81"/>
      <c r="M488" s="81"/>
      <c r="N488" s="81"/>
      <c r="O488" s="81"/>
      <c r="P488" s="81"/>
      <c r="Q488" s="81"/>
      <c r="R488" s="81"/>
      <c r="S488" s="81"/>
      <c r="T488" s="81"/>
      <c r="U488" s="81"/>
      <c r="V488" s="81"/>
      <c r="W488" s="81"/>
    </row>
    <row r="489" spans="1:23" s="4" customFormat="1">
      <c r="C489" s="44"/>
      <c r="E489" s="80"/>
      <c r="F489" s="80"/>
      <c r="G489" s="80"/>
      <c r="H489" s="80"/>
      <c r="I489" s="80"/>
      <c r="J489" s="80"/>
      <c r="K489" s="80"/>
      <c r="L489" s="81"/>
      <c r="M489" s="81"/>
      <c r="N489" s="81"/>
      <c r="O489" s="81"/>
      <c r="P489" s="81"/>
      <c r="Q489" s="81"/>
      <c r="R489" s="81"/>
      <c r="S489" s="81"/>
      <c r="T489" s="81"/>
      <c r="U489" s="81"/>
      <c r="V489" s="81"/>
      <c r="W489" s="81"/>
    </row>
    <row r="490" spans="1:23" s="4" customFormat="1">
      <c r="B490" s="6">
        <v>610</v>
      </c>
      <c r="C490" s="43" t="s">
        <v>424</v>
      </c>
      <c r="D490" s="6"/>
      <c r="E490" s="225"/>
      <c r="F490" s="225"/>
      <c r="G490" s="225"/>
      <c r="H490" s="225"/>
      <c r="I490" s="225"/>
      <c r="J490" s="225"/>
      <c r="K490" s="225"/>
      <c r="L490" s="94"/>
      <c r="M490" s="81"/>
      <c r="N490" s="81"/>
      <c r="O490" s="81"/>
      <c r="P490" s="81"/>
      <c r="Q490" s="81"/>
      <c r="R490" s="81"/>
      <c r="S490" s="81"/>
      <c r="T490" s="81"/>
      <c r="U490" s="81"/>
      <c r="V490" s="81"/>
      <c r="W490" s="81"/>
    </row>
    <row r="491" spans="1:23" s="6" customFormat="1">
      <c r="A491" s="4"/>
      <c r="B491" s="4">
        <v>610</v>
      </c>
      <c r="C491" s="44">
        <v>5105115</v>
      </c>
      <c r="D491" s="4" t="s">
        <v>425</v>
      </c>
      <c r="E491" s="94">
        <v>57900</v>
      </c>
      <c r="F491" s="94">
        <v>58590</v>
      </c>
      <c r="G491" s="234">
        <f t="shared" si="37"/>
        <v>0.10207253886010363</v>
      </c>
      <c r="H491" s="94">
        <f t="shared" si="36"/>
        <v>5910</v>
      </c>
      <c r="I491" s="227">
        <v>64500</v>
      </c>
      <c r="J491" s="227">
        <v>64500</v>
      </c>
      <c r="K491" s="227">
        <v>64500</v>
      </c>
      <c r="L491" s="94">
        <f>SUM(I491:I495)</f>
        <v>146590</v>
      </c>
      <c r="M491" s="81"/>
      <c r="N491" s="81"/>
      <c r="O491" s="81"/>
      <c r="P491" s="81"/>
      <c r="Q491" s="81"/>
      <c r="R491" s="81"/>
      <c r="S491" s="81"/>
      <c r="T491" s="81"/>
      <c r="U491" s="81"/>
      <c r="V491" s="81"/>
      <c r="W491" s="81"/>
    </row>
    <row r="492" spans="1:23" s="4" customFormat="1">
      <c r="B492" s="4">
        <v>610</v>
      </c>
      <c r="C492" s="44">
        <v>5105111</v>
      </c>
      <c r="D492" s="4" t="s">
        <v>426</v>
      </c>
      <c r="E492" s="94">
        <v>900</v>
      </c>
      <c r="F492" s="94">
        <v>843</v>
      </c>
      <c r="G492" s="234">
        <f t="shared" si="37"/>
        <v>7.7777777777777776E-3</v>
      </c>
      <c r="H492" s="94">
        <f t="shared" si="36"/>
        <v>7</v>
      </c>
      <c r="I492" s="227">
        <v>850</v>
      </c>
      <c r="J492" s="227">
        <v>850</v>
      </c>
      <c r="K492" s="227">
        <v>850</v>
      </c>
      <c r="L492" s="94"/>
      <c r="M492" s="81"/>
      <c r="N492" s="81"/>
      <c r="O492" s="81"/>
      <c r="P492" s="81"/>
      <c r="Q492" s="81"/>
      <c r="R492" s="81"/>
      <c r="S492" s="81"/>
      <c r="T492" s="81"/>
      <c r="U492" s="81"/>
      <c r="V492" s="81"/>
      <c r="W492" s="81"/>
    </row>
    <row r="493" spans="1:23" s="6" customFormat="1">
      <c r="A493" s="4"/>
      <c r="B493" s="4">
        <v>610</v>
      </c>
      <c r="C493" s="44"/>
      <c r="D493" s="4" t="s">
        <v>427</v>
      </c>
      <c r="E493" s="94"/>
      <c r="F493" s="94"/>
      <c r="G493" s="234"/>
      <c r="H493" s="94">
        <f t="shared" si="36"/>
        <v>0</v>
      </c>
      <c r="I493" s="227"/>
      <c r="J493" s="227"/>
      <c r="K493" s="227"/>
      <c r="L493" s="94">
        <f>SUM(I497:I510)</f>
        <v>42289</v>
      </c>
      <c r="M493" s="81"/>
      <c r="N493" s="81"/>
      <c r="O493" s="81"/>
      <c r="P493" s="81"/>
      <c r="Q493" s="81"/>
      <c r="R493" s="81"/>
      <c r="S493" s="81"/>
      <c r="T493" s="81"/>
      <c r="U493" s="81"/>
      <c r="V493" s="81"/>
      <c r="W493" s="81"/>
    </row>
    <row r="494" spans="1:23" s="4" customFormat="1">
      <c r="B494" s="4">
        <v>610</v>
      </c>
      <c r="C494" s="44">
        <v>5105110</v>
      </c>
      <c r="D494" s="4" t="s">
        <v>428</v>
      </c>
      <c r="E494" s="94">
        <v>72082</v>
      </c>
      <c r="F494" s="94">
        <v>77218</v>
      </c>
      <c r="G494" s="234">
        <f t="shared" si="37"/>
        <v>6.1041591520768015E-4</v>
      </c>
      <c r="H494" s="94">
        <f t="shared" si="36"/>
        <v>44</v>
      </c>
      <c r="I494" s="227">
        <v>77262</v>
      </c>
      <c r="J494" s="227">
        <v>77262</v>
      </c>
      <c r="K494" s="227">
        <v>77262</v>
      </c>
      <c r="L494" s="94"/>
      <c r="M494" s="81"/>
      <c r="N494" s="81"/>
      <c r="O494" s="81"/>
      <c r="P494" s="81"/>
      <c r="Q494" s="81"/>
      <c r="R494" s="81"/>
      <c r="S494" s="81"/>
      <c r="T494" s="81"/>
      <c r="U494" s="81"/>
      <c r="V494" s="81"/>
      <c r="W494" s="81"/>
    </row>
    <row r="495" spans="1:23" s="4" customFormat="1">
      <c r="B495" s="4">
        <v>610</v>
      </c>
      <c r="C495" s="44">
        <v>5105110</v>
      </c>
      <c r="D495" s="4" t="s">
        <v>429</v>
      </c>
      <c r="E495" s="94">
        <v>3270</v>
      </c>
      <c r="F495" s="94">
        <v>3760</v>
      </c>
      <c r="G495" s="234">
        <f t="shared" si="37"/>
        <v>6.6666666666666666E-2</v>
      </c>
      <c r="H495" s="94">
        <f t="shared" si="36"/>
        <v>218</v>
      </c>
      <c r="I495" s="227">
        <v>3978</v>
      </c>
      <c r="J495" s="227">
        <v>3978</v>
      </c>
      <c r="K495" s="227">
        <v>3978</v>
      </c>
      <c r="L495" s="94"/>
      <c r="M495" s="81"/>
      <c r="N495" s="81"/>
      <c r="O495" s="81"/>
      <c r="P495" s="81"/>
      <c r="Q495" s="81"/>
      <c r="R495" s="81"/>
      <c r="S495" s="81"/>
      <c r="T495" s="81"/>
      <c r="U495" s="81"/>
      <c r="V495" s="81"/>
      <c r="W495" s="81"/>
    </row>
    <row r="496" spans="1:23" s="4" customFormat="1">
      <c r="B496" s="4">
        <v>610</v>
      </c>
      <c r="C496" s="44"/>
      <c r="D496" s="4" t="s">
        <v>430</v>
      </c>
      <c r="E496" s="94"/>
      <c r="F496" s="94"/>
      <c r="G496" s="234"/>
      <c r="H496" s="94">
        <f t="shared" si="36"/>
        <v>0</v>
      </c>
      <c r="I496" s="227"/>
      <c r="J496" s="227"/>
      <c r="K496" s="227"/>
      <c r="L496" s="94"/>
      <c r="M496" s="81"/>
      <c r="N496" s="81"/>
      <c r="O496" s="81"/>
      <c r="P496" s="81"/>
      <c r="Q496" s="81"/>
      <c r="R496" s="81"/>
      <c r="S496" s="81"/>
      <c r="T496" s="81"/>
      <c r="U496" s="81"/>
      <c r="V496" s="81"/>
      <c r="W496" s="81"/>
    </row>
    <row r="497" spans="1:23" s="4" customFormat="1">
      <c r="B497" s="4">
        <v>610</v>
      </c>
      <c r="C497" s="44"/>
      <c r="D497" s="4" t="s">
        <v>25</v>
      </c>
      <c r="E497" s="94"/>
      <c r="F497" s="94"/>
      <c r="G497" s="234"/>
      <c r="H497" s="94">
        <f t="shared" si="36"/>
        <v>0</v>
      </c>
      <c r="I497" s="227"/>
      <c r="J497" s="227"/>
      <c r="K497" s="227"/>
      <c r="L497" s="94"/>
      <c r="M497" s="81"/>
      <c r="N497" s="81"/>
      <c r="O497" s="81"/>
      <c r="P497" s="81"/>
      <c r="Q497" s="81"/>
      <c r="R497" s="81"/>
      <c r="S497" s="81"/>
      <c r="T497" s="81"/>
      <c r="U497" s="81"/>
      <c r="V497" s="81"/>
      <c r="W497" s="81"/>
    </row>
    <row r="498" spans="1:23" s="4" customFormat="1">
      <c r="B498" s="4">
        <v>610</v>
      </c>
      <c r="C498" s="44">
        <v>5705244</v>
      </c>
      <c r="D498" s="4" t="s">
        <v>210</v>
      </c>
      <c r="E498" s="94">
        <v>950</v>
      </c>
      <c r="F498" s="94">
        <v>950</v>
      </c>
      <c r="G498" s="234">
        <f t="shared" si="37"/>
        <v>0.57894736842105265</v>
      </c>
      <c r="H498" s="94">
        <f t="shared" si="36"/>
        <v>550</v>
      </c>
      <c r="I498" s="227">
        <v>1500</v>
      </c>
      <c r="J498" s="227">
        <v>1500</v>
      </c>
      <c r="K498" s="227">
        <v>1500</v>
      </c>
      <c r="L498" s="94"/>
      <c r="M498" s="81"/>
      <c r="N498" s="81"/>
      <c r="O498" s="81"/>
      <c r="P498" s="81"/>
      <c r="Q498" s="81"/>
      <c r="R498" s="81"/>
      <c r="S498" s="81"/>
      <c r="T498" s="81"/>
      <c r="U498" s="81"/>
      <c r="V498" s="81"/>
      <c r="W498" s="81"/>
    </row>
    <row r="499" spans="1:23" s="4" customFormat="1">
      <c r="B499" s="4">
        <v>610</v>
      </c>
      <c r="C499" s="44">
        <v>5705242</v>
      </c>
      <c r="D499" s="4" t="s">
        <v>431</v>
      </c>
      <c r="E499" s="94">
        <v>1200</v>
      </c>
      <c r="F499" s="94">
        <v>1200</v>
      </c>
      <c r="G499" s="234">
        <f t="shared" si="37"/>
        <v>0</v>
      </c>
      <c r="H499" s="94">
        <f t="shared" si="36"/>
        <v>0</v>
      </c>
      <c r="I499" s="227">
        <v>1200</v>
      </c>
      <c r="J499" s="227">
        <v>1200</v>
      </c>
      <c r="K499" s="227">
        <v>1200</v>
      </c>
      <c r="L499" s="94"/>
      <c r="M499" s="81"/>
      <c r="N499" s="81"/>
      <c r="O499" s="81"/>
      <c r="P499" s="81"/>
      <c r="Q499" s="81"/>
      <c r="R499" s="81"/>
      <c r="S499" s="81"/>
      <c r="T499" s="81"/>
      <c r="U499" s="81"/>
      <c r="V499" s="81"/>
      <c r="W499" s="81"/>
    </row>
    <row r="500" spans="1:23" s="4" customFormat="1">
      <c r="B500" s="4">
        <v>610</v>
      </c>
      <c r="C500" s="44">
        <v>5705255</v>
      </c>
      <c r="D500" s="4" t="s">
        <v>432</v>
      </c>
      <c r="E500" s="94">
        <v>1142</v>
      </c>
      <c r="F500" s="94">
        <v>1142</v>
      </c>
      <c r="G500" s="234">
        <f t="shared" si="37"/>
        <v>0</v>
      </c>
      <c r="H500" s="94">
        <f t="shared" si="36"/>
        <v>0</v>
      </c>
      <c r="I500" s="227">
        <v>1142</v>
      </c>
      <c r="J500" s="227">
        <v>1142</v>
      </c>
      <c r="K500" s="227">
        <v>1142</v>
      </c>
      <c r="L500" s="94"/>
      <c r="M500" s="81"/>
      <c r="N500" s="81"/>
      <c r="O500" s="81"/>
      <c r="P500" s="81"/>
      <c r="Q500" s="81"/>
      <c r="R500" s="81"/>
      <c r="S500" s="81"/>
      <c r="T500" s="81"/>
      <c r="U500" s="81"/>
      <c r="V500" s="81"/>
      <c r="W500" s="81"/>
    </row>
    <row r="501" spans="1:23" s="4" customFormat="1">
      <c r="B501" s="4">
        <v>610</v>
      </c>
      <c r="C501" s="44"/>
      <c r="D501" s="4" t="s">
        <v>433</v>
      </c>
      <c r="E501" s="94"/>
      <c r="F501" s="94"/>
      <c r="G501" s="234"/>
      <c r="H501" s="94">
        <f t="shared" si="36"/>
        <v>0</v>
      </c>
      <c r="I501" s="227"/>
      <c r="J501" s="227"/>
      <c r="K501" s="227"/>
      <c r="L501" s="94"/>
      <c r="M501" s="81"/>
      <c r="N501" s="81"/>
      <c r="O501" s="81"/>
      <c r="P501" s="81"/>
      <c r="Q501" s="81"/>
      <c r="R501" s="81"/>
      <c r="S501" s="81"/>
      <c r="T501" s="81"/>
      <c r="U501" s="81"/>
      <c r="V501" s="81"/>
      <c r="W501" s="81"/>
    </row>
    <row r="502" spans="1:23" s="4" customFormat="1">
      <c r="B502" s="4">
        <v>610</v>
      </c>
      <c r="C502" s="44">
        <v>5705342</v>
      </c>
      <c r="D502" s="4" t="s">
        <v>221</v>
      </c>
      <c r="E502" s="94">
        <v>1450</v>
      </c>
      <c r="F502" s="94">
        <v>1450</v>
      </c>
      <c r="G502" s="234">
        <f t="shared" si="37"/>
        <v>0.31034482758620691</v>
      </c>
      <c r="H502" s="94">
        <f t="shared" si="36"/>
        <v>450</v>
      </c>
      <c r="I502" s="227">
        <v>1900</v>
      </c>
      <c r="J502" s="227">
        <v>1900</v>
      </c>
      <c r="K502" s="227">
        <v>1900</v>
      </c>
      <c r="L502" s="94"/>
      <c r="M502" s="81"/>
      <c r="N502" s="81"/>
      <c r="O502" s="81"/>
      <c r="P502" s="81"/>
      <c r="Q502" s="81"/>
      <c r="R502" s="81"/>
      <c r="S502" s="81"/>
      <c r="T502" s="81"/>
      <c r="U502" s="81"/>
      <c r="V502" s="81"/>
      <c r="W502" s="81"/>
    </row>
    <row r="503" spans="1:23" s="4" customFormat="1">
      <c r="B503" s="4">
        <v>610</v>
      </c>
      <c r="C503" s="44"/>
      <c r="D503" s="4" t="s">
        <v>383</v>
      </c>
      <c r="E503" s="94"/>
      <c r="F503" s="94"/>
      <c r="G503" s="234"/>
      <c r="H503" s="94">
        <f t="shared" si="36"/>
        <v>0</v>
      </c>
      <c r="I503" s="227"/>
      <c r="J503" s="227"/>
      <c r="K503" s="227"/>
      <c r="L503" s="94"/>
      <c r="M503" s="81"/>
      <c r="N503" s="81"/>
      <c r="O503" s="81"/>
      <c r="P503" s="81"/>
      <c r="Q503" s="81"/>
      <c r="R503" s="81"/>
      <c r="S503" s="81"/>
      <c r="T503" s="81"/>
      <c r="U503" s="81"/>
      <c r="V503" s="81"/>
      <c r="W503" s="81"/>
    </row>
    <row r="504" spans="1:23" s="4" customFormat="1">
      <c r="B504" s="4">
        <v>610</v>
      </c>
      <c r="C504" s="44">
        <v>5705716</v>
      </c>
      <c r="D504" s="4" t="s">
        <v>434</v>
      </c>
      <c r="E504" s="94">
        <v>350</v>
      </c>
      <c r="F504" s="94">
        <v>300</v>
      </c>
      <c r="G504" s="234">
        <f t="shared" si="37"/>
        <v>0</v>
      </c>
      <c r="H504" s="94">
        <f t="shared" si="36"/>
        <v>0</v>
      </c>
      <c r="I504" s="227">
        <v>300</v>
      </c>
      <c r="J504" s="227">
        <v>300</v>
      </c>
      <c r="K504" s="227">
        <v>300</v>
      </c>
      <c r="L504" s="94"/>
      <c r="M504" s="81"/>
      <c r="N504" s="81"/>
      <c r="O504" s="81"/>
      <c r="P504" s="81"/>
      <c r="Q504" s="81"/>
      <c r="R504" s="81"/>
      <c r="S504" s="81"/>
      <c r="T504" s="81"/>
      <c r="U504" s="81"/>
      <c r="V504" s="81"/>
      <c r="W504" s="81"/>
    </row>
    <row r="505" spans="1:23" s="4" customFormat="1">
      <c r="B505" s="4">
        <v>610</v>
      </c>
      <c r="C505" s="44">
        <v>5705491</v>
      </c>
      <c r="D505" s="4" t="s">
        <v>435</v>
      </c>
      <c r="E505" s="94">
        <v>9250</v>
      </c>
      <c r="F505" s="94">
        <v>9250</v>
      </c>
      <c r="G505" s="234">
        <f t="shared" si="37"/>
        <v>0.43751351351351353</v>
      </c>
      <c r="H505" s="94">
        <f t="shared" si="36"/>
        <v>4047</v>
      </c>
      <c r="I505" s="227">
        <v>13297</v>
      </c>
      <c r="J505" s="227">
        <v>13297</v>
      </c>
      <c r="K505" s="227">
        <v>13297</v>
      </c>
      <c r="L505" s="94"/>
      <c r="M505" s="81"/>
      <c r="N505" s="81"/>
      <c r="O505" s="81"/>
      <c r="P505" s="81"/>
      <c r="Q505" s="81"/>
      <c r="R505" s="81"/>
      <c r="S505" s="81"/>
      <c r="T505" s="81"/>
      <c r="U505" s="81"/>
      <c r="V505" s="81"/>
      <c r="W505" s="81"/>
    </row>
    <row r="506" spans="1:23" s="6" customFormat="1">
      <c r="A506" s="4"/>
      <c r="B506" s="4">
        <v>610</v>
      </c>
      <c r="C506" s="44">
        <v>5705420</v>
      </c>
      <c r="D506" s="4" t="s">
        <v>118</v>
      </c>
      <c r="E506" s="94">
        <v>1520</v>
      </c>
      <c r="F506" s="94">
        <v>1520</v>
      </c>
      <c r="G506" s="234">
        <f t="shared" si="37"/>
        <v>0.18421052631578946</v>
      </c>
      <c r="H506" s="94">
        <f t="shared" si="36"/>
        <v>280</v>
      </c>
      <c r="I506" s="227">
        <v>1800</v>
      </c>
      <c r="J506" s="227">
        <v>1800</v>
      </c>
      <c r="K506" s="227">
        <v>1800</v>
      </c>
      <c r="L506" s="94"/>
      <c r="M506" s="81"/>
      <c r="N506" s="81"/>
      <c r="O506" s="81"/>
      <c r="P506" s="81"/>
      <c r="Q506" s="81"/>
      <c r="R506" s="81"/>
      <c r="S506" s="81"/>
      <c r="T506" s="81"/>
      <c r="U506" s="81"/>
      <c r="V506" s="81"/>
      <c r="W506" s="81"/>
    </row>
    <row r="507" spans="1:23" s="4" customFormat="1">
      <c r="B507" s="4">
        <v>610</v>
      </c>
      <c r="C507" s="44"/>
      <c r="D507" s="4" t="s">
        <v>436</v>
      </c>
      <c r="E507" s="94"/>
      <c r="F507" s="94"/>
      <c r="G507" s="234"/>
      <c r="H507" s="94">
        <f t="shared" si="36"/>
        <v>0</v>
      </c>
      <c r="I507" s="227"/>
      <c r="J507" s="227"/>
      <c r="K507" s="227"/>
      <c r="L507" s="94"/>
      <c r="M507" s="81"/>
      <c r="N507" s="81"/>
      <c r="O507" s="81"/>
      <c r="P507" s="81"/>
      <c r="Q507" s="81"/>
      <c r="R507" s="81"/>
      <c r="S507" s="81"/>
      <c r="T507" s="81"/>
      <c r="U507" s="81"/>
      <c r="V507" s="81"/>
      <c r="W507" s="81"/>
    </row>
    <row r="508" spans="1:23" s="6" customFormat="1">
      <c r="A508" s="4"/>
      <c r="B508" s="4">
        <v>610</v>
      </c>
      <c r="C508" s="44">
        <v>5705520</v>
      </c>
      <c r="D508" s="4" t="s">
        <v>437</v>
      </c>
      <c r="E508" s="94">
        <f>22000</f>
        <v>22000</v>
      </c>
      <c r="F508" s="94">
        <v>15911</v>
      </c>
      <c r="G508" s="234">
        <f t="shared" si="37"/>
        <v>0.1404090909090909</v>
      </c>
      <c r="H508" s="94">
        <f t="shared" si="36"/>
        <v>3089</v>
      </c>
      <c r="I508" s="227">
        <v>19000</v>
      </c>
      <c r="J508" s="227">
        <v>19000</v>
      </c>
      <c r="K508" s="227">
        <v>19000</v>
      </c>
      <c r="L508" s="94"/>
      <c r="M508" s="81"/>
      <c r="N508" s="81"/>
      <c r="O508" s="81"/>
      <c r="P508" s="81"/>
      <c r="Q508" s="81"/>
      <c r="R508" s="81"/>
      <c r="S508" s="81"/>
      <c r="T508" s="81"/>
      <c r="U508" s="81"/>
      <c r="V508" s="81"/>
      <c r="W508" s="81"/>
    </row>
    <row r="509" spans="1:23" s="4" customFormat="1">
      <c r="B509" s="4">
        <v>610</v>
      </c>
      <c r="C509" s="44">
        <v>5705711</v>
      </c>
      <c r="D509" s="4" t="s">
        <v>119</v>
      </c>
      <c r="E509" s="94">
        <v>220</v>
      </c>
      <c r="F509" s="94">
        <v>100</v>
      </c>
      <c r="G509" s="234">
        <f t="shared" si="37"/>
        <v>0</v>
      </c>
      <c r="H509" s="94">
        <f t="shared" si="36"/>
        <v>0</v>
      </c>
      <c r="I509" s="227">
        <v>100</v>
      </c>
      <c r="J509" s="227">
        <v>100</v>
      </c>
      <c r="K509" s="227">
        <v>100</v>
      </c>
      <c r="L509" s="94"/>
      <c r="M509" s="81"/>
      <c r="N509" s="81"/>
      <c r="O509" s="81"/>
      <c r="P509" s="81"/>
      <c r="Q509" s="81"/>
      <c r="R509" s="81"/>
      <c r="S509" s="81"/>
      <c r="T509" s="81"/>
      <c r="U509" s="81"/>
      <c r="V509" s="81"/>
      <c r="W509" s="81"/>
    </row>
    <row r="510" spans="1:23" s="4" customFormat="1">
      <c r="B510" s="4">
        <v>610</v>
      </c>
      <c r="C510" s="44" t="s">
        <v>359</v>
      </c>
      <c r="D510" s="4" t="s">
        <v>438</v>
      </c>
      <c r="E510" s="94">
        <v>2050</v>
      </c>
      <c r="F510" s="94">
        <v>2050</v>
      </c>
      <c r="G510" s="234">
        <f t="shared" si="37"/>
        <v>0</v>
      </c>
      <c r="H510" s="94">
        <f t="shared" si="36"/>
        <v>0</v>
      </c>
      <c r="I510" s="227">
        <v>2050</v>
      </c>
      <c r="J510" s="227">
        <v>2050</v>
      </c>
      <c r="K510" s="227">
        <v>2050</v>
      </c>
      <c r="L510" s="94"/>
      <c r="M510" s="81"/>
      <c r="N510" s="81"/>
      <c r="O510" s="81"/>
      <c r="P510" s="81"/>
      <c r="Q510" s="81"/>
      <c r="R510" s="81"/>
      <c r="S510" s="81"/>
      <c r="T510" s="81"/>
      <c r="U510" s="81"/>
      <c r="V510" s="81"/>
      <c r="W510" s="81"/>
    </row>
    <row r="511" spans="1:23" s="4" customFormat="1">
      <c r="B511" s="4">
        <v>610</v>
      </c>
      <c r="C511" s="44"/>
      <c r="D511" s="4" t="s">
        <v>149</v>
      </c>
      <c r="E511" s="94"/>
      <c r="F511" s="94"/>
      <c r="G511" s="234"/>
      <c r="H511" s="94">
        <f t="shared" si="36"/>
        <v>0</v>
      </c>
      <c r="I511" s="227"/>
      <c r="J511" s="227"/>
      <c r="K511" s="227"/>
      <c r="L511" s="94"/>
      <c r="M511" s="81"/>
      <c r="N511" s="81"/>
      <c r="O511" s="81"/>
      <c r="P511" s="81"/>
      <c r="Q511" s="81"/>
      <c r="R511" s="81"/>
      <c r="S511" s="81"/>
      <c r="T511" s="81"/>
      <c r="U511" s="81"/>
      <c r="V511" s="81"/>
      <c r="W511" s="81"/>
    </row>
    <row r="512" spans="1:23" s="4" customFormat="1">
      <c r="A512" t="s">
        <v>103</v>
      </c>
      <c r="B512" s="6" t="s">
        <v>104</v>
      </c>
      <c r="C512" s="43" t="s">
        <v>439</v>
      </c>
      <c r="D512" s="6"/>
      <c r="E512" s="226">
        <f>SUM(E491:E511)</f>
        <v>174284</v>
      </c>
      <c r="F512" s="226">
        <f>SUM(F491:F511)</f>
        <v>174284</v>
      </c>
      <c r="G512" s="235">
        <f t="shared" si="37"/>
        <v>8.3742626976658782E-2</v>
      </c>
      <c r="H512" s="226">
        <f t="shared" si="36"/>
        <v>14595</v>
      </c>
      <c r="I512" s="226">
        <f>SUM(I491:I511)</f>
        <v>188879</v>
      </c>
      <c r="J512" s="226">
        <f>SUM(J491:J511)</f>
        <v>188879</v>
      </c>
      <c r="K512" s="226">
        <f>SUM(K491:K511)</f>
        <v>188879</v>
      </c>
      <c r="L512" s="81"/>
      <c r="M512" s="81"/>
      <c r="N512" s="81"/>
      <c r="O512" s="81"/>
      <c r="P512" s="81"/>
      <c r="Q512" s="81"/>
      <c r="R512" s="81"/>
      <c r="S512" s="81"/>
      <c r="T512" s="81"/>
      <c r="U512" s="81"/>
      <c r="V512" s="81"/>
      <c r="W512" s="81"/>
    </row>
    <row r="513" spans="1:23" s="6" customFormat="1">
      <c r="A513" s="4"/>
      <c r="B513" s="4"/>
      <c r="C513" s="44"/>
      <c r="D513" s="4"/>
      <c r="E513" s="80"/>
      <c r="F513" s="80"/>
      <c r="G513" s="80"/>
      <c r="H513" s="80"/>
      <c r="I513" s="80"/>
      <c r="J513" s="80"/>
      <c r="K513" s="80"/>
      <c r="L513" s="81"/>
      <c r="M513" s="81"/>
      <c r="N513" s="81"/>
      <c r="O513" s="81"/>
      <c r="P513" s="81"/>
      <c r="Q513" s="81"/>
      <c r="R513" s="81"/>
      <c r="S513" s="81"/>
      <c r="T513" s="81"/>
      <c r="U513" s="81"/>
      <c r="V513" s="81"/>
      <c r="W513" s="81"/>
    </row>
    <row r="514" spans="1:23" s="4" customFormat="1">
      <c r="B514" s="6">
        <v>691</v>
      </c>
      <c r="C514" s="43" t="s">
        <v>440</v>
      </c>
      <c r="D514" s="6"/>
      <c r="E514" s="225"/>
      <c r="F514" s="225"/>
      <c r="G514" s="225"/>
      <c r="H514" s="225"/>
      <c r="I514" s="225"/>
      <c r="J514" s="225"/>
      <c r="K514" s="225"/>
      <c r="L514" s="81"/>
      <c r="M514" s="81"/>
      <c r="N514" s="81"/>
      <c r="O514" s="81"/>
      <c r="P514" s="81"/>
      <c r="Q514" s="81"/>
      <c r="R514" s="81"/>
      <c r="S514" s="81"/>
      <c r="T514" s="81"/>
      <c r="U514" s="81"/>
      <c r="V514" s="81"/>
      <c r="W514" s="81"/>
    </row>
    <row r="515" spans="1:23" s="4" customFormat="1">
      <c r="B515" s="4">
        <v>691</v>
      </c>
      <c r="C515" s="44">
        <v>0</v>
      </c>
      <c r="D515" s="4" t="s">
        <v>201</v>
      </c>
      <c r="E515" s="80">
        <v>0</v>
      </c>
      <c r="F515" s="80">
        <v>0</v>
      </c>
      <c r="G515" s="232"/>
      <c r="H515" s="80">
        <f t="shared" si="36"/>
        <v>0</v>
      </c>
      <c r="I515" s="80">
        <v>0</v>
      </c>
      <c r="J515" s="80">
        <v>0</v>
      </c>
      <c r="K515" s="80">
        <v>0</v>
      </c>
      <c r="L515" s="81"/>
      <c r="M515" s="81"/>
      <c r="N515" s="81"/>
      <c r="O515" s="81"/>
      <c r="P515" s="81"/>
      <c r="Q515" s="81"/>
      <c r="R515" s="81"/>
      <c r="S515" s="81"/>
      <c r="T515" s="81"/>
      <c r="U515" s="81"/>
      <c r="V515" s="81"/>
      <c r="W515" s="81"/>
    </row>
    <row r="516" spans="1:23" s="4" customFormat="1">
      <c r="B516" s="4">
        <v>691</v>
      </c>
      <c r="C516" s="44">
        <v>0</v>
      </c>
      <c r="D516" s="4" t="s">
        <v>210</v>
      </c>
      <c r="E516" s="80"/>
      <c r="F516" s="80"/>
      <c r="G516" s="232"/>
      <c r="H516" s="80">
        <f t="shared" si="36"/>
        <v>0</v>
      </c>
      <c r="I516" s="80"/>
      <c r="J516" s="80"/>
      <c r="K516" s="80"/>
      <c r="L516" s="81"/>
      <c r="M516" s="81"/>
      <c r="N516" s="81"/>
      <c r="O516" s="81"/>
      <c r="P516" s="81"/>
      <c r="Q516" s="81"/>
      <c r="R516" s="81"/>
      <c r="S516" s="81"/>
      <c r="T516" s="81"/>
      <c r="U516" s="81"/>
      <c r="V516" s="81"/>
      <c r="W516" s="81"/>
    </row>
    <row r="517" spans="1:23" s="4" customFormat="1">
      <c r="B517" s="4">
        <v>691</v>
      </c>
      <c r="C517" s="44">
        <v>0</v>
      </c>
      <c r="D517" s="4" t="s">
        <v>441</v>
      </c>
      <c r="E517" s="80"/>
      <c r="F517" s="80"/>
      <c r="G517" s="232"/>
      <c r="H517" s="80">
        <f t="shared" si="36"/>
        <v>0</v>
      </c>
      <c r="I517" s="80"/>
      <c r="J517" s="80"/>
      <c r="K517" s="80"/>
      <c r="L517" s="81"/>
      <c r="M517" s="81"/>
      <c r="N517" s="81"/>
      <c r="O517" s="81"/>
      <c r="P517" s="81"/>
      <c r="Q517" s="81"/>
      <c r="R517" s="81"/>
      <c r="S517" s="81"/>
      <c r="T517" s="81"/>
      <c r="U517" s="81"/>
      <c r="V517" s="81"/>
      <c r="W517" s="81"/>
    </row>
    <row r="518" spans="1:23" s="6" customFormat="1">
      <c r="A518" s="4"/>
      <c r="B518" s="4">
        <v>691</v>
      </c>
      <c r="C518" s="44">
        <v>0</v>
      </c>
      <c r="D518" s="4" t="s">
        <v>383</v>
      </c>
      <c r="E518" s="80"/>
      <c r="F518" s="80"/>
      <c r="G518" s="232"/>
      <c r="H518" s="80">
        <f t="shared" si="36"/>
        <v>0</v>
      </c>
      <c r="I518" s="80"/>
      <c r="J518" s="80"/>
      <c r="K518" s="80"/>
      <c r="L518" s="81"/>
      <c r="M518" s="81"/>
      <c r="N518" s="81"/>
      <c r="O518" s="81"/>
      <c r="P518" s="81"/>
      <c r="Q518" s="81"/>
      <c r="R518" s="81"/>
      <c r="S518" s="81"/>
      <c r="T518" s="81"/>
      <c r="U518" s="81"/>
      <c r="V518" s="81"/>
      <c r="W518" s="81"/>
    </row>
    <row r="519" spans="1:23" s="4" customFormat="1">
      <c r="B519" s="4">
        <v>691</v>
      </c>
      <c r="C519" s="44">
        <v>5705700</v>
      </c>
      <c r="D519" s="4" t="s">
        <v>118</v>
      </c>
      <c r="E519" s="94">
        <v>200</v>
      </c>
      <c r="F519" s="94">
        <v>0</v>
      </c>
      <c r="G519" s="234">
        <f t="shared" si="37"/>
        <v>0</v>
      </c>
      <c r="H519" s="94">
        <f t="shared" si="36"/>
        <v>0</v>
      </c>
      <c r="I519" s="94">
        <v>0</v>
      </c>
      <c r="J519" s="94">
        <v>0</v>
      </c>
      <c r="K519" s="94">
        <v>0</v>
      </c>
      <c r="L519" s="81"/>
      <c r="M519" s="81"/>
      <c r="N519" s="81"/>
      <c r="O519" s="81"/>
      <c r="P519" s="81"/>
      <c r="Q519" s="81"/>
      <c r="R519" s="81"/>
      <c r="S519" s="81"/>
      <c r="T519" s="81"/>
      <c r="U519" s="81"/>
      <c r="V519" s="81"/>
      <c r="W519" s="81"/>
    </row>
    <row r="520" spans="1:23" s="6" customFormat="1">
      <c r="A520" s="4"/>
      <c r="B520" s="4">
        <v>691</v>
      </c>
      <c r="C520" s="44"/>
      <c r="D520" s="4" t="s">
        <v>442</v>
      </c>
      <c r="E520" s="80"/>
      <c r="F520" s="80"/>
      <c r="G520" s="232"/>
      <c r="H520" s="80">
        <f t="shared" si="36"/>
        <v>0</v>
      </c>
      <c r="I520" s="80"/>
      <c r="J520" s="80"/>
      <c r="K520" s="80"/>
      <c r="L520" s="81"/>
      <c r="M520" s="81"/>
      <c r="N520" s="81"/>
      <c r="O520" s="81"/>
      <c r="P520" s="81"/>
      <c r="Q520" s="81"/>
      <c r="R520" s="81"/>
      <c r="S520" s="81"/>
      <c r="T520" s="81"/>
      <c r="U520" s="81"/>
      <c r="V520" s="81"/>
      <c r="W520" s="81"/>
    </row>
    <row r="521" spans="1:23" s="4" customFormat="1">
      <c r="B521" s="4">
        <v>691</v>
      </c>
      <c r="C521" s="44"/>
      <c r="D521" s="4" t="s">
        <v>119</v>
      </c>
      <c r="E521" s="80"/>
      <c r="F521" s="80"/>
      <c r="G521" s="232"/>
      <c r="H521" s="80">
        <f t="shared" si="36"/>
        <v>0</v>
      </c>
      <c r="I521" s="80"/>
      <c r="J521" s="80"/>
      <c r="K521" s="80"/>
      <c r="L521" s="81"/>
      <c r="M521" s="81"/>
      <c r="N521" s="81"/>
      <c r="O521" s="81"/>
      <c r="P521" s="81"/>
      <c r="Q521" s="81"/>
      <c r="R521" s="81"/>
      <c r="S521" s="81"/>
      <c r="T521" s="81"/>
      <c r="U521" s="81"/>
      <c r="V521" s="81"/>
      <c r="W521" s="81"/>
    </row>
    <row r="522" spans="1:23" s="4" customFormat="1">
      <c r="B522" s="4">
        <v>691</v>
      </c>
      <c r="C522" s="44"/>
      <c r="D522" s="4" t="s">
        <v>120</v>
      </c>
      <c r="E522" s="80"/>
      <c r="F522" s="80"/>
      <c r="G522" s="232"/>
      <c r="H522" s="80">
        <f t="shared" si="36"/>
        <v>0</v>
      </c>
      <c r="I522" s="80"/>
      <c r="J522" s="80"/>
      <c r="K522" s="80"/>
      <c r="L522" s="81"/>
      <c r="M522" s="81"/>
      <c r="N522" s="81"/>
      <c r="O522" s="81"/>
      <c r="P522" s="81"/>
      <c r="Q522" s="81"/>
      <c r="R522" s="81"/>
      <c r="S522" s="81"/>
      <c r="T522" s="81"/>
      <c r="U522" s="81"/>
      <c r="V522" s="81"/>
      <c r="W522" s="81"/>
    </row>
    <row r="523" spans="1:23" s="4" customFormat="1">
      <c r="C523" s="44"/>
      <c r="E523" s="80"/>
      <c r="F523" s="80"/>
      <c r="G523" s="232"/>
      <c r="H523" s="80">
        <f t="shared" si="36"/>
        <v>0</v>
      </c>
      <c r="I523" s="80"/>
      <c r="J523" s="80"/>
      <c r="K523" s="80"/>
      <c r="L523" s="81"/>
      <c r="M523" s="81"/>
      <c r="N523" s="81"/>
      <c r="O523" s="81"/>
      <c r="P523" s="81"/>
      <c r="Q523" s="81"/>
      <c r="R523" s="81"/>
      <c r="S523" s="81"/>
      <c r="T523" s="81"/>
      <c r="U523" s="81"/>
      <c r="V523" s="81"/>
      <c r="W523" s="81"/>
    </row>
    <row r="524" spans="1:23" s="4" customFormat="1">
      <c r="A524" t="s">
        <v>103</v>
      </c>
      <c r="B524" s="6" t="s">
        <v>104</v>
      </c>
      <c r="C524" s="43" t="s">
        <v>443</v>
      </c>
      <c r="D524" s="6"/>
      <c r="E524" s="225">
        <f>SUM(E515:E523)</f>
        <v>200</v>
      </c>
      <c r="F524" s="225">
        <v>0</v>
      </c>
      <c r="G524" s="233">
        <f t="shared" si="37"/>
        <v>0</v>
      </c>
      <c r="H524" s="225">
        <f t="shared" si="36"/>
        <v>0</v>
      </c>
      <c r="I524" s="225">
        <v>0</v>
      </c>
      <c r="J524" s="225">
        <v>0</v>
      </c>
      <c r="K524" s="225">
        <v>0</v>
      </c>
      <c r="L524" s="81"/>
      <c r="M524" s="81"/>
      <c r="N524" s="81"/>
      <c r="O524" s="81"/>
      <c r="P524" s="81"/>
      <c r="Q524" s="81"/>
      <c r="R524" s="81"/>
      <c r="S524" s="81"/>
      <c r="T524" s="81"/>
      <c r="U524" s="81"/>
      <c r="V524" s="81"/>
      <c r="W524" s="81"/>
    </row>
    <row r="525" spans="1:23" s="6" customFormat="1">
      <c r="A525" s="4"/>
      <c r="B525" s="4"/>
      <c r="C525" s="44"/>
      <c r="D525" s="4"/>
      <c r="E525" s="80"/>
      <c r="F525" s="80"/>
      <c r="G525" s="80"/>
      <c r="H525" s="80"/>
      <c r="I525" s="80"/>
      <c r="J525" s="80"/>
      <c r="K525" s="80"/>
      <c r="L525" s="81"/>
      <c r="M525" s="81"/>
      <c r="N525" s="81"/>
      <c r="O525" s="81"/>
      <c r="P525" s="81"/>
      <c r="Q525" s="81"/>
      <c r="R525" s="81"/>
      <c r="S525" s="81"/>
      <c r="T525" s="81"/>
      <c r="U525" s="81"/>
      <c r="V525" s="81"/>
      <c r="W525" s="81"/>
    </row>
    <row r="526" spans="1:23" s="4" customFormat="1">
      <c r="B526" s="6">
        <v>692</v>
      </c>
      <c r="C526" s="43" t="s">
        <v>444</v>
      </c>
      <c r="D526" s="6"/>
      <c r="E526" s="225"/>
      <c r="F526" s="225"/>
      <c r="G526" s="225"/>
      <c r="H526" s="225"/>
      <c r="I526" s="225"/>
      <c r="J526" s="225"/>
      <c r="K526" s="225"/>
      <c r="L526" s="81"/>
      <c r="M526" s="81"/>
      <c r="N526" s="81"/>
      <c r="O526" s="81"/>
      <c r="P526" s="81"/>
      <c r="Q526" s="81"/>
      <c r="R526" s="81"/>
      <c r="S526" s="81"/>
      <c r="T526" s="81"/>
      <c r="U526" s="81"/>
      <c r="V526" s="81"/>
      <c r="W526" s="81"/>
    </row>
    <row r="527" spans="1:23" s="4" customFormat="1">
      <c r="B527" s="4">
        <v>692</v>
      </c>
      <c r="C527" s="44"/>
      <c r="D527" s="4" t="s">
        <v>445</v>
      </c>
      <c r="E527" s="80">
        <v>0</v>
      </c>
      <c r="F527" s="80">
        <v>0</v>
      </c>
      <c r="G527" s="232"/>
      <c r="H527" s="80">
        <f t="shared" ref="H527:H548" si="38">I527-F527</f>
        <v>0</v>
      </c>
      <c r="I527" s="80">
        <v>0</v>
      </c>
      <c r="J527" s="80">
        <v>0</v>
      </c>
      <c r="K527" s="80">
        <v>0</v>
      </c>
      <c r="L527" s="81"/>
      <c r="M527" s="81"/>
      <c r="N527" s="81"/>
      <c r="O527" s="81"/>
      <c r="P527" s="81"/>
      <c r="Q527" s="81"/>
      <c r="R527" s="81"/>
      <c r="S527" s="81"/>
      <c r="T527" s="81"/>
      <c r="U527" s="81"/>
      <c r="V527" s="81"/>
      <c r="W527" s="81"/>
    </row>
    <row r="528" spans="1:23" s="4" customFormat="1">
      <c r="B528" s="4">
        <v>692</v>
      </c>
      <c r="C528" s="44"/>
      <c r="D528" s="4" t="s">
        <v>446</v>
      </c>
      <c r="E528" s="80"/>
      <c r="F528" s="80"/>
      <c r="G528" s="232"/>
      <c r="H528" s="80">
        <f t="shared" si="38"/>
        <v>0</v>
      </c>
      <c r="I528" s="80"/>
      <c r="J528" s="80"/>
      <c r="K528" s="80"/>
      <c r="L528" s="81"/>
      <c r="M528" s="81"/>
      <c r="N528" s="81"/>
      <c r="O528" s="81"/>
      <c r="P528" s="81"/>
      <c r="Q528" s="81"/>
      <c r="R528" s="81"/>
      <c r="S528" s="81"/>
      <c r="T528" s="81"/>
      <c r="U528" s="81"/>
      <c r="V528" s="81"/>
      <c r="W528" s="81"/>
    </row>
    <row r="529" spans="1:23" s="6" customFormat="1">
      <c r="A529" s="4"/>
      <c r="B529" s="4">
        <v>692</v>
      </c>
      <c r="C529" s="44"/>
      <c r="D529" s="4" t="s">
        <v>447</v>
      </c>
      <c r="E529" s="80"/>
      <c r="F529" s="80"/>
      <c r="G529" s="232"/>
      <c r="H529" s="80">
        <f t="shared" si="38"/>
        <v>0</v>
      </c>
      <c r="I529" s="80"/>
      <c r="J529" s="80"/>
      <c r="K529" s="80"/>
      <c r="L529" s="81"/>
      <c r="M529" s="81"/>
      <c r="N529" s="81"/>
      <c r="O529" s="81"/>
      <c r="P529" s="81"/>
      <c r="Q529" s="81"/>
      <c r="R529" s="81"/>
      <c r="S529" s="81"/>
      <c r="T529" s="81"/>
      <c r="U529" s="81"/>
      <c r="V529" s="81"/>
      <c r="W529" s="81"/>
    </row>
    <row r="530" spans="1:23" s="4" customFormat="1">
      <c r="B530" s="4">
        <v>692</v>
      </c>
      <c r="C530" s="44">
        <v>5705700</v>
      </c>
      <c r="D530" s="4" t="s">
        <v>448</v>
      </c>
      <c r="E530" s="94">
        <v>1500</v>
      </c>
      <c r="F530" s="94">
        <v>0</v>
      </c>
      <c r="G530" s="234">
        <f t="shared" si="37"/>
        <v>0</v>
      </c>
      <c r="H530" s="94">
        <f t="shared" si="38"/>
        <v>0</v>
      </c>
      <c r="I530" s="94">
        <v>0</v>
      </c>
      <c r="J530" s="94">
        <v>0</v>
      </c>
      <c r="K530" s="94">
        <v>0</v>
      </c>
      <c r="L530" s="81"/>
      <c r="M530" s="81"/>
      <c r="N530" s="81"/>
      <c r="O530" s="81"/>
      <c r="P530" s="81"/>
      <c r="Q530" s="81"/>
      <c r="R530" s="81"/>
      <c r="S530" s="81"/>
      <c r="T530" s="81"/>
      <c r="U530" s="81"/>
      <c r="V530" s="81"/>
      <c r="W530" s="81"/>
    </row>
    <row r="531" spans="1:23">
      <c r="A531" s="4"/>
      <c r="B531" s="4">
        <v>692</v>
      </c>
      <c r="C531" s="44"/>
      <c r="D531" s="4"/>
      <c r="E531" s="80"/>
      <c r="F531" s="80"/>
      <c r="G531" s="232"/>
      <c r="H531" s="80">
        <f t="shared" si="38"/>
        <v>0</v>
      </c>
      <c r="I531" s="80"/>
      <c r="J531" s="80"/>
      <c r="K531" s="80"/>
      <c r="L531" s="132"/>
    </row>
    <row r="532" spans="1:23">
      <c r="A532" t="s">
        <v>103</v>
      </c>
      <c r="B532" s="6" t="s">
        <v>104</v>
      </c>
      <c r="C532" s="43" t="s">
        <v>449</v>
      </c>
      <c r="D532" s="6"/>
      <c r="E532" s="225">
        <f>SUM(E527:E531)</f>
        <v>1500</v>
      </c>
      <c r="F532" s="225">
        <v>0</v>
      </c>
      <c r="G532" s="233">
        <f t="shared" ref="G532:G543" si="39">(I532-F532)/E532</f>
        <v>0</v>
      </c>
      <c r="H532" s="225">
        <f t="shared" si="38"/>
        <v>0</v>
      </c>
      <c r="I532" s="225">
        <v>0</v>
      </c>
      <c r="J532" s="225">
        <v>0</v>
      </c>
      <c r="K532" s="225">
        <v>0</v>
      </c>
      <c r="L532" s="132"/>
    </row>
    <row r="533" spans="1:23">
      <c r="B533" s="4"/>
      <c r="C533" s="44"/>
      <c r="D533" s="4"/>
      <c r="E533" s="80"/>
      <c r="F533" s="80"/>
      <c r="G533" s="80"/>
      <c r="H533" s="80"/>
      <c r="I533" s="80"/>
      <c r="J533" s="80"/>
      <c r="K533" s="80"/>
      <c r="L533" s="132"/>
    </row>
    <row r="534" spans="1:23">
      <c r="B534" s="6">
        <v>711</v>
      </c>
      <c r="C534" s="43" t="s">
        <v>450</v>
      </c>
      <c r="D534" s="6"/>
      <c r="E534" s="225"/>
      <c r="F534" s="225"/>
      <c r="G534" s="225"/>
      <c r="H534" s="225"/>
      <c r="I534" s="225"/>
      <c r="J534" s="225"/>
      <c r="K534" s="225"/>
      <c r="L534" s="94"/>
    </row>
    <row r="535" spans="1:23">
      <c r="A535" t="s">
        <v>451</v>
      </c>
      <c r="B535" s="4">
        <v>711</v>
      </c>
      <c r="C535" s="44">
        <v>5905904</v>
      </c>
      <c r="D535" s="4" t="s">
        <v>452</v>
      </c>
      <c r="E535" s="80">
        <v>170000</v>
      </c>
      <c r="F535" s="80">
        <v>175000</v>
      </c>
      <c r="G535" s="232">
        <f t="shared" si="39"/>
        <v>2.9411764705882353E-2</v>
      </c>
      <c r="H535" s="80">
        <f t="shared" si="38"/>
        <v>5000</v>
      </c>
      <c r="I535" s="80">
        <v>180000</v>
      </c>
      <c r="J535" s="80">
        <v>180000</v>
      </c>
      <c r="K535" s="80">
        <v>180000</v>
      </c>
      <c r="L535" s="94"/>
    </row>
    <row r="536" spans="1:23">
      <c r="A536" t="s">
        <v>453</v>
      </c>
      <c r="B536" s="4">
        <v>711</v>
      </c>
      <c r="C536" s="44">
        <v>5905918</v>
      </c>
      <c r="D536" s="4" t="s">
        <v>454</v>
      </c>
      <c r="E536" s="94">
        <v>354634</v>
      </c>
      <c r="F536" s="94">
        <v>387878.40000000002</v>
      </c>
      <c r="G536" s="232">
        <f t="shared" ref="G536" si="40">(I536-F536)/F536</f>
        <v>3.3707986832986772E-2</v>
      </c>
      <c r="H536" s="94">
        <f t="shared" si="38"/>
        <v>13074.599999999977</v>
      </c>
      <c r="I536" s="94">
        <v>400953</v>
      </c>
      <c r="J536" s="94">
        <v>400953</v>
      </c>
      <c r="K536" s="94">
        <v>400953</v>
      </c>
      <c r="L536" s="123"/>
    </row>
    <row r="537" spans="1:23">
      <c r="B537" s="4"/>
      <c r="C537" s="4"/>
      <c r="D537" s="4" t="s">
        <v>455</v>
      </c>
      <c r="E537" s="123">
        <v>20434</v>
      </c>
      <c r="F537" s="123">
        <v>18923</v>
      </c>
      <c r="G537" s="232">
        <f t="shared" si="39"/>
        <v>7.092443965939121</v>
      </c>
      <c r="H537" s="123">
        <f t="shared" si="38"/>
        <v>144927</v>
      </c>
      <c r="I537" s="123">
        <v>163850</v>
      </c>
      <c r="J537" s="123">
        <v>163850</v>
      </c>
      <c r="K537" s="123">
        <v>163850</v>
      </c>
      <c r="L537" s="161"/>
    </row>
    <row r="538" spans="1:23">
      <c r="B538" s="4"/>
      <c r="C538" s="4"/>
      <c r="D538" s="4" t="s">
        <v>456</v>
      </c>
      <c r="E538" s="161">
        <v>0</v>
      </c>
      <c r="F538" s="161">
        <v>0</v>
      </c>
      <c r="G538" s="232"/>
      <c r="H538" s="161">
        <f t="shared" si="38"/>
        <v>675000</v>
      </c>
      <c r="I538" s="161">
        <v>675000</v>
      </c>
      <c r="J538" s="161">
        <v>675000</v>
      </c>
      <c r="K538" s="161">
        <v>675000</v>
      </c>
      <c r="L538" s="94"/>
    </row>
    <row r="539" spans="1:23">
      <c r="B539" s="4">
        <v>711</v>
      </c>
      <c r="C539" s="44"/>
      <c r="D539" s="4" t="s">
        <v>457</v>
      </c>
      <c r="E539" s="80">
        <v>250000</v>
      </c>
      <c r="F539" s="80">
        <v>250000</v>
      </c>
      <c r="G539" s="232">
        <f t="shared" si="39"/>
        <v>-1</v>
      </c>
      <c r="H539" s="80">
        <f t="shared" si="38"/>
        <v>-250000</v>
      </c>
      <c r="I539" s="80">
        <v>0</v>
      </c>
      <c r="J539" s="80">
        <v>0</v>
      </c>
      <c r="K539" s="80">
        <v>0</v>
      </c>
      <c r="L539" s="94"/>
    </row>
    <row r="540" spans="1:23">
      <c r="B540" s="6" t="s">
        <v>104</v>
      </c>
      <c r="C540" s="43" t="s">
        <v>458</v>
      </c>
      <c r="D540" s="6"/>
      <c r="E540" s="225">
        <f>SUM(E535:E539)</f>
        <v>795068</v>
      </c>
      <c r="F540" s="225">
        <v>831801.4</v>
      </c>
      <c r="G540" s="233">
        <f t="shared" ref="G540" si="41">(I540-F540)/F540</f>
        <v>0.70690143103870706</v>
      </c>
      <c r="H540" s="225">
        <f t="shared" si="38"/>
        <v>588001.6</v>
      </c>
      <c r="I540" s="225">
        <f>SUM(I535:I539)</f>
        <v>1419803</v>
      </c>
      <c r="J540" s="225">
        <f>SUM(J535:J539)</f>
        <v>1419803</v>
      </c>
      <c r="K540" s="225">
        <f>SUM(K535:K539)</f>
        <v>1419803</v>
      </c>
      <c r="L540" s="132"/>
    </row>
    <row r="541" spans="1:23">
      <c r="B541" s="4"/>
      <c r="C541" s="44"/>
      <c r="D541" s="4"/>
      <c r="E541" s="80"/>
      <c r="F541" s="80"/>
      <c r="G541" s="232"/>
      <c r="H541" s="80"/>
      <c r="I541" s="80"/>
      <c r="J541" s="80"/>
      <c r="K541" s="80"/>
      <c r="L541" s="132"/>
      <c r="M541" s="100">
        <f>SUM(M542:M543)</f>
        <v>563585</v>
      </c>
    </row>
    <row r="542" spans="1:23">
      <c r="B542" s="6">
        <v>711</v>
      </c>
      <c r="C542" s="43" t="s">
        <v>459</v>
      </c>
      <c r="D542" s="6"/>
      <c r="E542" s="225"/>
      <c r="F542" s="225"/>
      <c r="G542" s="233"/>
      <c r="H542" s="225"/>
      <c r="I542" s="225"/>
      <c r="J542" s="225"/>
      <c r="K542" s="225"/>
      <c r="L542" s="94"/>
      <c r="M542" s="100">
        <f>L546*N547</f>
        <v>400952.85099257453</v>
      </c>
    </row>
    <row r="543" spans="1:23">
      <c r="A543" t="s">
        <v>451</v>
      </c>
      <c r="B543" s="4">
        <v>711</v>
      </c>
      <c r="C543" s="44">
        <v>5705901</v>
      </c>
      <c r="D543" s="4" t="s">
        <v>460</v>
      </c>
      <c r="E543" s="80">
        <f>(34800*2)</f>
        <v>69600</v>
      </c>
      <c r="F543" s="80">
        <v>64500</v>
      </c>
      <c r="G543" s="232">
        <f t="shared" si="39"/>
        <v>-7.5431034482758619E-2</v>
      </c>
      <c r="H543" s="80">
        <f t="shared" si="38"/>
        <v>-5250</v>
      </c>
      <c r="I543" s="80">
        <v>59250</v>
      </c>
      <c r="J543" s="80">
        <v>59250</v>
      </c>
      <c r="K543" s="80">
        <v>59250</v>
      </c>
      <c r="L543" s="94"/>
      <c r="M543" s="100">
        <f>L545*N547</f>
        <v>162632.14900742544</v>
      </c>
    </row>
    <row r="544" spans="1:23">
      <c r="A544" t="s">
        <v>453</v>
      </c>
      <c r="B544" s="4">
        <v>711</v>
      </c>
      <c r="C544" s="44">
        <v>5705919</v>
      </c>
      <c r="D544" s="4" t="s">
        <v>454</v>
      </c>
      <c r="E544" s="80">
        <v>169585</v>
      </c>
      <c r="F544" s="80">
        <v>166233.60000000001</v>
      </c>
      <c r="G544" s="232">
        <f>(I544-F544)/F544</f>
        <v>-2.1665896665896699E-2</v>
      </c>
      <c r="H544" s="80">
        <f t="shared" si="38"/>
        <v>-3601.6000000000058</v>
      </c>
      <c r="I544" s="80">
        <v>162632</v>
      </c>
      <c r="J544" s="80">
        <v>162632</v>
      </c>
      <c r="K544" s="80">
        <v>162632</v>
      </c>
      <c r="L544" s="113"/>
    </row>
    <row r="545" spans="2:14">
      <c r="B545" s="4"/>
      <c r="C545" s="44"/>
      <c r="D545" s="4" t="s">
        <v>455</v>
      </c>
      <c r="E545" s="94">
        <v>219348</v>
      </c>
      <c r="F545" s="94">
        <v>543148</v>
      </c>
      <c r="G545" s="232">
        <f t="shared" ref="G545:G547" si="42">(I545-F545)/F545</f>
        <v>-0.20853800437449829</v>
      </c>
      <c r="H545" s="94">
        <f t="shared" si="38"/>
        <v>-113267</v>
      </c>
      <c r="I545" s="94">
        <f>429881</f>
        <v>429881</v>
      </c>
      <c r="J545" s="94">
        <f>429881</f>
        <v>429881</v>
      </c>
      <c r="K545" s="94">
        <f>429881</f>
        <v>429881</v>
      </c>
      <c r="L545" s="113">
        <v>630730</v>
      </c>
      <c r="M545">
        <f>563585</f>
        <v>563585</v>
      </c>
    </row>
    <row r="546" spans="2:14">
      <c r="B546" s="4"/>
      <c r="C546" s="44"/>
      <c r="D546" s="4" t="s">
        <v>456</v>
      </c>
      <c r="E546" s="94">
        <v>0</v>
      </c>
      <c r="F546" s="94">
        <v>245839.44</v>
      </c>
      <c r="G546" s="232">
        <f t="shared" si="42"/>
        <v>6.3046700724668101</v>
      </c>
      <c r="H546" s="94">
        <f t="shared" si="38"/>
        <v>1549936.56</v>
      </c>
      <c r="I546" s="94">
        <v>1795776</v>
      </c>
      <c r="J546" s="94">
        <v>1795776</v>
      </c>
      <c r="K546" s="94">
        <v>1795776</v>
      </c>
      <c r="L546" s="94">
        <f>1555000</f>
        <v>1555000</v>
      </c>
      <c r="M546">
        <f>1622145</f>
        <v>1622145</v>
      </c>
    </row>
    <row r="547" spans="2:14">
      <c r="B547" s="4">
        <v>711</v>
      </c>
      <c r="C547" s="44"/>
      <c r="D547" s="4" t="s">
        <v>457</v>
      </c>
      <c r="E547" s="80">
        <f>9975+4987.5</f>
        <v>14962.5</v>
      </c>
      <c r="F547" s="80">
        <v>4987.5</v>
      </c>
      <c r="G547" s="232">
        <f t="shared" si="42"/>
        <v>-1</v>
      </c>
      <c r="H547" s="80">
        <f t="shared" si="38"/>
        <v>-4987.5</v>
      </c>
      <c r="I547" s="80">
        <v>0</v>
      </c>
      <c r="J547" s="80">
        <v>0</v>
      </c>
      <c r="K547" s="80">
        <v>0</v>
      </c>
      <c r="L547" s="94">
        <f>SUM(L545:L546)</f>
        <v>2185730</v>
      </c>
      <c r="M547">
        <f>SUM(M545:M546)</f>
        <v>2185730</v>
      </c>
      <c r="N547">
        <f>M545/M547</f>
        <v>0.25784749259972639</v>
      </c>
    </row>
    <row r="548" spans="2:14">
      <c r="B548" s="6" t="s">
        <v>104</v>
      </c>
      <c r="C548" s="43" t="s">
        <v>461</v>
      </c>
      <c r="D548" s="6"/>
      <c r="E548" s="225">
        <f>SUM(E543:E547)</f>
        <v>473495.5</v>
      </c>
      <c r="F548" s="225">
        <v>1024708.54</v>
      </c>
      <c r="G548" s="222">
        <f>(I548-F548)/F548</f>
        <v>1.388522106002942</v>
      </c>
      <c r="H548" s="225">
        <f t="shared" si="38"/>
        <v>1422830.46</v>
      </c>
      <c r="I548" s="225">
        <f>SUM(I543:I547)</f>
        <v>2447539</v>
      </c>
      <c r="J548" s="225">
        <f>SUM(J543:J547)</f>
        <v>2447539</v>
      </c>
      <c r="K548" s="225">
        <f>SUM(K543:K547)</f>
        <v>2447539</v>
      </c>
      <c r="L548" s="132"/>
    </row>
    <row r="549" spans="2:14">
      <c r="B549" s="4"/>
      <c r="C549" s="44"/>
      <c r="D549" s="4"/>
      <c r="E549" s="220"/>
      <c r="F549" s="220"/>
      <c r="G549" s="218"/>
      <c r="H549" s="220"/>
      <c r="I549" s="220"/>
      <c r="J549" s="220"/>
      <c r="K549" s="220"/>
      <c r="L549" s="115"/>
    </row>
    <row r="550" spans="2:14">
      <c r="B550" s="4"/>
      <c r="C550" s="44"/>
      <c r="D550" s="4"/>
      <c r="E550" s="220"/>
      <c r="F550" s="220"/>
      <c r="G550" s="218"/>
      <c r="H550" s="220"/>
      <c r="I550" s="220"/>
      <c r="J550" s="220"/>
      <c r="K550" s="220"/>
      <c r="L550" s="132"/>
    </row>
    <row r="551" spans="2:14">
      <c r="B551" s="4"/>
      <c r="C551" s="44"/>
      <c r="D551" s="4"/>
      <c r="E551" s="220"/>
      <c r="F551" s="220"/>
      <c r="G551" s="218"/>
      <c r="H551" s="220"/>
      <c r="I551" s="220"/>
      <c r="J551" s="220"/>
      <c r="K551" s="220"/>
      <c r="L551" s="132"/>
    </row>
    <row r="552" spans="2:14">
      <c r="B552" s="85" t="s">
        <v>462</v>
      </c>
      <c r="C552" s="45" t="s">
        <v>462</v>
      </c>
      <c r="D552" s="7"/>
      <c r="E552" s="223">
        <f>SUM(E13+E19+E33+E42+E56+E76+E89+E100+E106+E121+E136+E149+E154+E165+E189+E195+E200+E205+E211+E217+E265+E289+E314+E331+E351+E365+E373+E382+E397+E436+E442+E447+E457+E463+E478+E488+E512+E524+E532+E540+E548)</f>
        <v>23764698.030500002</v>
      </c>
      <c r="F552" s="223">
        <f>SUM(F13,F19,F33,F42,F56,F76,F89,F100,F106,F121,F136,F149,F154,F165,F189,F195,F200,F205,F211,F217,F265,F289,F314,F331,F351,F365,F373,F382,F397,F436,F442,F447,F457,F463,F478,F488,F512,F524,F532,F540,F548)</f>
        <v>25521172.739</v>
      </c>
      <c r="G552" s="231">
        <f>(I552-F552)/F552</f>
        <v>0.1918390166106386</v>
      </c>
      <c r="H552" s="223">
        <f>I552-F552</f>
        <v>4895956.680999998</v>
      </c>
      <c r="I552" s="223">
        <f>SUM(I13,I19,I33,I42,I56,I76,I89,I100,I106,I121,I136,I149,I154,I165,I189,I195,I200,I205,I211,I217,I265,I289,I314,I331,I351,I365,I373,I382,I397,I436,I442,I447,I457,I463,I478,I488,I512,I524,I532,I540,I548)</f>
        <v>30417129.419999998</v>
      </c>
      <c r="J552" s="223">
        <f>SUM(J13,J19,J33,J42,J56,J76,J89,J100,J106,J121,J136,J149,J154,J165,J189,J195,J200,J205,J211,J217,J265,J289,J314,J331,J351,J365,J373,J382,J397,J436,J442,J447,J457,J463,J478,J488,J512,J524,J532,J540,J548)</f>
        <v>30417129.419999998</v>
      </c>
      <c r="K552" s="223">
        <f>SUM(K13,K19,K33,K42,K56,K76,K89,K100,K106,K121,K136,K149,K154,K165,K189,K195,K200,K205,K211,K217,K265,K289,K314,K331,K351,K365,K373,K382,K397,K436,K442,K447,K457,K463,K478,K488,K512,K524,K532,K540,K548)</f>
        <v>30417129.419999998</v>
      </c>
    </row>
    <row r="553" spans="2:14">
      <c r="E553" s="87"/>
      <c r="F553" s="78"/>
      <c r="G553" s="78"/>
      <c r="H553" s="2"/>
      <c r="J553" s="2"/>
    </row>
    <row r="554" spans="2:14">
      <c r="E554" s="87"/>
      <c r="F554" s="78"/>
      <c r="G554" s="78"/>
      <c r="H554" s="2"/>
      <c r="J554" s="70"/>
    </row>
    <row r="555" spans="2:14">
      <c r="C555" s="205"/>
      <c r="D555" s="132"/>
      <c r="E555" s="206"/>
      <c r="F555" s="207"/>
      <c r="G555" s="207"/>
      <c r="H555" s="208"/>
      <c r="I555" s="208"/>
      <c r="J555" s="208"/>
    </row>
    <row r="556" spans="2:14">
      <c r="C556" s="205"/>
      <c r="D556" s="81"/>
      <c r="E556" s="125"/>
      <c r="F556" s="124"/>
      <c r="G556" s="94"/>
      <c r="H556" s="209"/>
      <c r="I556" s="210"/>
      <c r="J556" s="94"/>
    </row>
    <row r="557" spans="2:14">
      <c r="C557" s="205"/>
      <c r="D557" s="81"/>
      <c r="E557" s="125"/>
      <c r="F557" s="124"/>
      <c r="G557" s="94"/>
      <c r="H557" s="209"/>
      <c r="I557" s="210"/>
      <c r="J557" s="94"/>
    </row>
    <row r="558" spans="2:14">
      <c r="C558" s="205"/>
      <c r="D558" s="81"/>
      <c r="E558" s="125"/>
      <c r="F558" s="124"/>
      <c r="G558" s="94"/>
      <c r="H558" s="209"/>
      <c r="I558" s="210"/>
      <c r="J558" s="94"/>
    </row>
    <row r="559" spans="2:14">
      <c r="C559" s="205"/>
      <c r="D559" s="81"/>
      <c r="E559" s="123"/>
      <c r="F559" s="123"/>
      <c r="G559" s="123"/>
      <c r="H559" s="209"/>
      <c r="I559" s="210"/>
      <c r="J559" s="123"/>
    </row>
    <row r="560" spans="2:14">
      <c r="C560" s="205"/>
      <c r="D560" s="81"/>
      <c r="E560" s="161"/>
      <c r="F560" s="161"/>
      <c r="G560" s="161"/>
      <c r="H560" s="209"/>
      <c r="I560" s="210"/>
      <c r="J560" s="161"/>
    </row>
    <row r="561" spans="3:10">
      <c r="C561" s="205"/>
      <c r="D561" s="81"/>
      <c r="E561" s="125"/>
      <c r="F561" s="124"/>
      <c r="G561" s="94"/>
      <c r="H561" s="209"/>
      <c r="I561" s="210"/>
      <c r="J561" s="94"/>
    </row>
    <row r="562" spans="3:10">
      <c r="C562" s="205"/>
      <c r="D562" s="81"/>
      <c r="E562" s="211"/>
      <c r="F562" s="126"/>
      <c r="G562" s="94"/>
      <c r="H562" s="209"/>
      <c r="I562" s="210"/>
      <c r="J562" s="94"/>
    </row>
    <row r="563" spans="3:10">
      <c r="C563" s="205"/>
      <c r="D563" s="132"/>
      <c r="E563" s="207"/>
      <c r="F563" s="207"/>
      <c r="G563" s="207"/>
      <c r="H563" s="208"/>
      <c r="I563" s="208"/>
      <c r="J563" s="208"/>
    </row>
    <row r="564" spans="3:10">
      <c r="E564" s="78"/>
      <c r="F564" s="78"/>
      <c r="G564" s="78"/>
      <c r="H564" s="2"/>
      <c r="J564" s="2"/>
    </row>
    <row r="565" spans="3:10">
      <c r="E565" s="78"/>
      <c r="F565" s="78"/>
      <c r="G565" s="78"/>
      <c r="H565" s="2"/>
      <c r="J565" s="2"/>
    </row>
    <row r="566" spans="3:10">
      <c r="E566" s="78"/>
      <c r="F566" s="78"/>
      <c r="G566" s="78"/>
      <c r="H566" s="2"/>
      <c r="J566" s="2"/>
    </row>
    <row r="567" spans="3:10">
      <c r="E567" s="78"/>
      <c r="F567" s="78"/>
      <c r="G567" s="78"/>
      <c r="H567" s="2"/>
      <c r="J567" s="2"/>
    </row>
    <row r="568" spans="3:10">
      <c r="E568" s="78"/>
      <c r="F568" s="78"/>
      <c r="G568" s="78"/>
      <c r="H568" s="2"/>
      <c r="J568" s="2"/>
    </row>
    <row r="569" spans="3:10">
      <c r="E569" s="78"/>
      <c r="F569" s="78"/>
      <c r="G569" s="78"/>
      <c r="H569" s="2"/>
      <c r="J569" s="2"/>
    </row>
    <row r="570" spans="3:10">
      <c r="E570" s="78"/>
      <c r="F570" s="78"/>
      <c r="G570" s="78"/>
      <c r="H570" s="2"/>
      <c r="J570" s="2"/>
    </row>
    <row r="571" spans="3:10">
      <c r="E571" s="78"/>
      <c r="F571" s="78"/>
      <c r="G571" s="78"/>
      <c r="H571" s="2"/>
      <c r="J571" s="2"/>
    </row>
    <row r="572" spans="3:10">
      <c r="E572" s="78"/>
      <c r="F572" s="78"/>
      <c r="G572" s="78"/>
      <c r="H572" s="2"/>
      <c r="J572" s="2"/>
    </row>
    <row r="573" spans="3:10">
      <c r="E573" s="78"/>
      <c r="F573" s="78"/>
      <c r="G573" s="78"/>
      <c r="H573" s="2"/>
      <c r="J573" s="2"/>
    </row>
    <row r="574" spans="3:10">
      <c r="E574" s="78"/>
      <c r="F574" s="78"/>
      <c r="G574" s="78"/>
      <c r="H574" s="2"/>
      <c r="J574" s="2"/>
    </row>
    <row r="575" spans="3:10">
      <c r="E575" s="78"/>
      <c r="F575" s="78"/>
      <c r="G575" s="78"/>
      <c r="H575" s="2"/>
      <c r="J575" s="2"/>
    </row>
    <row r="576" spans="3:10">
      <c r="E576" s="78"/>
      <c r="F576" s="78"/>
      <c r="G576" s="78"/>
      <c r="H576" s="2"/>
      <c r="J576" s="2"/>
    </row>
    <row r="577" spans="5:10">
      <c r="E577" s="78"/>
      <c r="F577" s="78"/>
      <c r="G577" s="78"/>
      <c r="H577" s="2"/>
      <c r="J577" s="2"/>
    </row>
    <row r="578" spans="5:10">
      <c r="E578" s="78"/>
      <c r="F578" s="78"/>
      <c r="G578" s="78"/>
      <c r="H578" s="2"/>
      <c r="J578" s="2"/>
    </row>
    <row r="579" spans="5:10">
      <c r="E579" s="87"/>
      <c r="F579" s="78"/>
      <c r="G579" s="78"/>
      <c r="H579" s="2"/>
      <c r="J579" s="2"/>
    </row>
    <row r="580" spans="5:10">
      <c r="E580" s="87"/>
      <c r="F580" s="78"/>
      <c r="G580" s="78"/>
      <c r="H580" s="2"/>
      <c r="J580" s="2"/>
    </row>
    <row r="581" spans="5:10">
      <c r="E581" s="87"/>
      <c r="F581" s="78"/>
      <c r="G581" s="78"/>
      <c r="H581" s="2"/>
      <c r="J581" s="2"/>
    </row>
    <row r="582" spans="5:10">
      <c r="E582" s="87"/>
      <c r="F582" s="78"/>
      <c r="G582" s="78"/>
      <c r="H582" s="2"/>
      <c r="J582" s="2"/>
    </row>
    <row r="583" spans="5:10">
      <c r="E583" s="87"/>
      <c r="F583" s="78"/>
      <c r="G583" s="78"/>
      <c r="H583" s="2"/>
      <c r="J583" s="2"/>
    </row>
    <row r="584" spans="5:10">
      <c r="E584" s="87"/>
      <c r="F584" s="78"/>
      <c r="G584" s="78"/>
      <c r="H584" s="2"/>
      <c r="J584" s="2"/>
    </row>
    <row r="585" spans="5:10">
      <c r="E585" s="87"/>
      <c r="F585" s="78"/>
      <c r="G585" s="78"/>
      <c r="H585" s="2"/>
      <c r="J585" s="2"/>
    </row>
    <row r="586" spans="5:10">
      <c r="E586" s="87"/>
      <c r="F586" s="78"/>
      <c r="G586" s="78"/>
      <c r="H586" s="2"/>
      <c r="J586" s="2"/>
    </row>
    <row r="587" spans="5:10">
      <c r="E587" s="87"/>
      <c r="F587" s="78"/>
      <c r="G587" s="78"/>
      <c r="H587" s="2"/>
      <c r="J587" s="2"/>
    </row>
    <row r="588" spans="5:10">
      <c r="E588" s="87"/>
      <c r="F588" s="78"/>
      <c r="G588" s="78"/>
      <c r="H588" s="2"/>
      <c r="J588" s="2"/>
    </row>
    <row r="589" spans="5:10">
      <c r="E589" s="87"/>
      <c r="F589" s="78"/>
      <c r="G589" s="78"/>
      <c r="H589" s="2"/>
      <c r="J589" s="2"/>
    </row>
    <row r="590" spans="5:10">
      <c r="E590" s="87"/>
      <c r="F590" s="78"/>
      <c r="G590" s="78"/>
      <c r="H590" s="2"/>
      <c r="J590" s="2"/>
    </row>
    <row r="591" spans="5:10">
      <c r="E591" s="87"/>
      <c r="F591" s="78"/>
      <c r="G591" s="78"/>
      <c r="H591" s="2"/>
      <c r="J591" s="2"/>
    </row>
    <row r="592" spans="5:10">
      <c r="E592" s="87"/>
      <c r="F592" s="78"/>
      <c r="G592" s="78"/>
      <c r="H592" s="2"/>
      <c r="J592" s="2"/>
    </row>
    <row r="593" spans="5:10">
      <c r="E593" s="87"/>
      <c r="F593" s="78"/>
      <c r="G593" s="78"/>
      <c r="H593" s="2"/>
      <c r="J593" s="2"/>
    </row>
    <row r="594" spans="5:10">
      <c r="E594" s="87"/>
      <c r="F594" s="78"/>
      <c r="G594" s="78"/>
      <c r="H594" s="2"/>
      <c r="J594" s="2"/>
    </row>
    <row r="595" spans="5:10">
      <c r="E595" s="87"/>
      <c r="F595" s="78"/>
      <c r="G595" s="78"/>
      <c r="H595" s="2"/>
      <c r="J595" s="2"/>
    </row>
    <row r="596" spans="5:10">
      <c r="E596" s="87"/>
      <c r="F596" s="78"/>
      <c r="G596" s="78"/>
      <c r="H596" s="2"/>
      <c r="J596" s="2"/>
    </row>
    <row r="597" spans="5:10">
      <c r="E597" s="87"/>
      <c r="F597" s="78"/>
      <c r="G597" s="78"/>
      <c r="H597" s="2"/>
      <c r="J597" s="2"/>
    </row>
    <row r="598" spans="5:10">
      <c r="E598" s="87"/>
      <c r="F598" s="78"/>
      <c r="G598" s="78"/>
      <c r="H598" s="2"/>
      <c r="J598" s="2"/>
    </row>
    <row r="599" spans="5:10">
      <c r="E599" s="87"/>
      <c r="F599" s="78"/>
      <c r="G599" s="78"/>
      <c r="H599" s="2"/>
      <c r="J599" s="2"/>
    </row>
    <row r="600" spans="5:10">
      <c r="E600" s="87"/>
      <c r="F600" s="78"/>
      <c r="G600" s="78"/>
      <c r="H600" s="2"/>
      <c r="J600" s="2"/>
    </row>
    <row r="601" spans="5:10">
      <c r="E601" s="87"/>
      <c r="F601" s="78"/>
      <c r="G601" s="78"/>
      <c r="H601" s="2"/>
      <c r="J601" s="2"/>
    </row>
    <row r="602" spans="5:10">
      <c r="E602" s="87"/>
      <c r="F602" s="78"/>
      <c r="G602" s="78"/>
      <c r="H602" s="2"/>
      <c r="J602" s="2"/>
    </row>
    <row r="603" spans="5:10">
      <c r="E603" s="87"/>
      <c r="F603" s="78"/>
      <c r="G603" s="78"/>
      <c r="H603" s="2"/>
      <c r="J603" s="2"/>
    </row>
    <row r="604" spans="5:10">
      <c r="E604" s="87"/>
      <c r="F604" s="78"/>
      <c r="G604" s="78"/>
      <c r="H604" s="2"/>
      <c r="J604" s="2"/>
    </row>
    <row r="605" spans="5:10">
      <c r="E605" s="87"/>
      <c r="F605" s="78"/>
      <c r="G605" s="78"/>
      <c r="H605" s="2"/>
      <c r="J605" s="2"/>
    </row>
    <row r="606" spans="5:10">
      <c r="E606" s="87"/>
      <c r="F606" s="78"/>
      <c r="G606" s="78"/>
      <c r="H606" s="2"/>
      <c r="J606" s="2"/>
    </row>
    <row r="607" spans="5:10">
      <c r="E607" s="87"/>
      <c r="F607" s="78"/>
      <c r="G607" s="78"/>
      <c r="H607" s="2"/>
      <c r="J607" s="2"/>
    </row>
    <row r="608" spans="5:10">
      <c r="E608" s="87"/>
      <c r="F608" s="78"/>
      <c r="G608" s="78"/>
      <c r="H608" s="2"/>
      <c r="J608" s="2"/>
    </row>
    <row r="609" spans="5:10">
      <c r="E609" s="87"/>
      <c r="F609" s="78"/>
      <c r="G609" s="78"/>
      <c r="H609" s="2"/>
      <c r="J609" s="2"/>
    </row>
    <row r="610" spans="5:10">
      <c r="E610" s="87"/>
      <c r="F610" s="78"/>
      <c r="G610" s="78"/>
      <c r="H610" s="2"/>
      <c r="J610" s="2"/>
    </row>
    <row r="611" spans="5:10">
      <c r="E611" s="87"/>
      <c r="F611" s="78"/>
      <c r="G611" s="78"/>
      <c r="H611" s="2"/>
      <c r="J611" s="2"/>
    </row>
    <row r="612" spans="5:10">
      <c r="E612" s="87"/>
      <c r="F612" s="78"/>
      <c r="G612" s="78"/>
      <c r="H612" s="2"/>
      <c r="J612" s="2"/>
    </row>
    <row r="613" spans="5:10">
      <c r="E613" s="87"/>
      <c r="F613" s="78"/>
      <c r="G613" s="78"/>
      <c r="H613" s="2"/>
      <c r="J613" s="2"/>
    </row>
    <row r="614" spans="5:10">
      <c r="E614" s="87"/>
      <c r="F614" s="78"/>
      <c r="G614" s="78"/>
      <c r="H614" s="2"/>
      <c r="J614" s="2"/>
    </row>
    <row r="615" spans="5:10">
      <c r="E615" s="87"/>
      <c r="F615" s="78"/>
      <c r="G615" s="78"/>
      <c r="H615" s="2"/>
      <c r="J615" s="2"/>
    </row>
    <row r="616" spans="5:10">
      <c r="E616" s="87"/>
      <c r="F616" s="78"/>
      <c r="G616" s="78"/>
      <c r="H616" s="2"/>
      <c r="J616" s="2"/>
    </row>
    <row r="617" spans="5:10">
      <c r="E617" s="87"/>
      <c r="F617" s="78"/>
      <c r="G617" s="78"/>
      <c r="H617" s="2"/>
      <c r="J617" s="2"/>
    </row>
    <row r="618" spans="5:10">
      <c r="E618" s="87"/>
      <c r="F618" s="78"/>
      <c r="G618" s="78"/>
      <c r="H618" s="2"/>
      <c r="J618" s="2"/>
    </row>
    <row r="619" spans="5:10">
      <c r="E619" s="87"/>
      <c r="F619" s="78"/>
      <c r="G619" s="78"/>
      <c r="H619" s="2"/>
      <c r="J619" s="2"/>
    </row>
    <row r="620" spans="5:10">
      <c r="E620" s="87"/>
      <c r="F620" s="78"/>
      <c r="G620" s="78"/>
      <c r="H620" s="2"/>
      <c r="J620" s="2"/>
    </row>
    <row r="621" spans="5:10">
      <c r="E621" s="87"/>
      <c r="F621" s="78"/>
      <c r="G621" s="78"/>
      <c r="H621" s="2"/>
      <c r="J621" s="2"/>
    </row>
    <row r="622" spans="5:10">
      <c r="E622" s="87"/>
      <c r="F622" s="78"/>
      <c r="G622" s="78"/>
      <c r="H622" s="2"/>
      <c r="J622" s="2"/>
    </row>
    <row r="623" spans="5:10">
      <c r="E623" s="87"/>
      <c r="F623" s="78"/>
      <c r="G623" s="78"/>
      <c r="H623" s="2"/>
      <c r="J623" s="2"/>
    </row>
    <row r="624" spans="5:10">
      <c r="E624" s="87"/>
      <c r="F624" s="78"/>
      <c r="G624" s="78"/>
      <c r="H624" s="2"/>
      <c r="J624" s="2"/>
    </row>
    <row r="625" spans="5:10">
      <c r="E625" s="87"/>
      <c r="F625" s="78"/>
      <c r="G625" s="78"/>
      <c r="H625" s="2"/>
      <c r="J625" s="2"/>
    </row>
    <row r="626" spans="5:10">
      <c r="E626" s="87"/>
      <c r="F626" s="78"/>
      <c r="G626" s="78"/>
      <c r="H626" s="2"/>
      <c r="J626" s="2"/>
    </row>
    <row r="627" spans="5:10">
      <c r="E627" s="87"/>
      <c r="F627" s="78"/>
      <c r="G627" s="78"/>
      <c r="H627" s="2"/>
      <c r="J627" s="2"/>
    </row>
    <row r="628" spans="5:10">
      <c r="E628" s="87"/>
      <c r="F628" s="78"/>
      <c r="G628" s="78"/>
      <c r="H628" s="2"/>
      <c r="J628" s="2"/>
    </row>
    <row r="629" spans="5:10">
      <c r="E629" s="87"/>
      <c r="F629" s="78"/>
      <c r="G629" s="78"/>
      <c r="H629" s="2"/>
      <c r="J629" s="2"/>
    </row>
    <row r="630" spans="5:10">
      <c r="E630" s="87"/>
      <c r="F630" s="78"/>
      <c r="G630" s="78"/>
      <c r="H630" s="2"/>
      <c r="J630" s="2"/>
    </row>
    <row r="631" spans="5:10">
      <c r="E631" s="87"/>
      <c r="F631" s="78"/>
      <c r="G631" s="78"/>
      <c r="H631" s="2"/>
      <c r="J631" s="2"/>
    </row>
    <row r="632" spans="5:10">
      <c r="E632" s="87"/>
      <c r="F632" s="78"/>
      <c r="G632" s="78"/>
      <c r="H632" s="2"/>
      <c r="J632" s="2"/>
    </row>
    <row r="633" spans="5:10">
      <c r="E633" s="87"/>
      <c r="F633" s="78"/>
      <c r="G633" s="78"/>
      <c r="H633" s="2"/>
      <c r="J633" s="2"/>
    </row>
    <row r="634" spans="5:10">
      <c r="E634" s="87"/>
      <c r="F634" s="78"/>
      <c r="G634" s="78"/>
      <c r="H634" s="2"/>
      <c r="J634" s="2"/>
    </row>
    <row r="635" spans="5:10">
      <c r="E635" s="87"/>
      <c r="F635" s="78"/>
      <c r="G635" s="78"/>
      <c r="H635" s="2"/>
      <c r="J635" s="2"/>
    </row>
    <row r="636" spans="5:10">
      <c r="E636" s="87"/>
      <c r="F636" s="78"/>
      <c r="G636" s="78"/>
      <c r="H636" s="2"/>
      <c r="J636" s="2"/>
    </row>
    <row r="637" spans="5:10">
      <c r="E637" s="87"/>
      <c r="F637" s="78"/>
      <c r="G637" s="78"/>
      <c r="H637" s="2"/>
      <c r="J637" s="2"/>
    </row>
    <row r="638" spans="5:10">
      <c r="E638" s="87"/>
      <c r="F638" s="78"/>
      <c r="G638" s="78"/>
      <c r="H638" s="2"/>
      <c r="J638" s="2"/>
    </row>
    <row r="639" spans="5:10">
      <c r="E639" s="87"/>
      <c r="F639" s="78"/>
      <c r="G639" s="78"/>
      <c r="H639" s="2"/>
      <c r="J639" s="2"/>
    </row>
    <row r="640" spans="5:10">
      <c r="E640" s="87"/>
      <c r="F640" s="78"/>
      <c r="G640" s="78"/>
      <c r="H640" s="2"/>
      <c r="J640" s="2"/>
    </row>
    <row r="641" spans="5:10">
      <c r="E641" s="87"/>
      <c r="F641" s="78"/>
      <c r="G641" s="78"/>
      <c r="H641" s="2"/>
      <c r="J641" s="2"/>
    </row>
    <row r="642" spans="5:10">
      <c r="E642" s="87"/>
      <c r="F642" s="78"/>
      <c r="G642" s="78"/>
      <c r="H642" s="2"/>
      <c r="J642" s="2"/>
    </row>
    <row r="643" spans="5:10">
      <c r="E643" s="87"/>
      <c r="F643" s="78"/>
      <c r="G643" s="78"/>
      <c r="H643" s="2"/>
      <c r="J643" s="2"/>
    </row>
    <row r="644" spans="5:10">
      <c r="E644" s="87"/>
      <c r="F644" s="78"/>
      <c r="G644" s="78"/>
      <c r="H644" s="2"/>
      <c r="J644" s="2"/>
    </row>
    <row r="645" spans="5:10">
      <c r="E645" s="87"/>
      <c r="F645" s="78"/>
      <c r="G645" s="78"/>
      <c r="H645" s="2"/>
      <c r="J645" s="2"/>
    </row>
    <row r="646" spans="5:10">
      <c r="E646" s="87"/>
      <c r="F646" s="78"/>
      <c r="G646" s="78"/>
      <c r="H646" s="2"/>
      <c r="J646" s="2"/>
    </row>
    <row r="647" spans="5:10">
      <c r="E647" s="87"/>
      <c r="F647" s="78"/>
      <c r="G647" s="78"/>
      <c r="H647" s="2"/>
      <c r="J647" s="2"/>
    </row>
    <row r="648" spans="5:10">
      <c r="E648" s="87"/>
      <c r="F648" s="78"/>
      <c r="G648" s="78"/>
      <c r="H648" s="2"/>
      <c r="J648" s="2"/>
    </row>
    <row r="649" spans="5:10">
      <c r="E649" s="87"/>
      <c r="F649" s="78"/>
      <c r="G649" s="78"/>
      <c r="H649" s="2"/>
      <c r="J649" s="2"/>
    </row>
    <row r="650" spans="5:10">
      <c r="E650" s="87"/>
      <c r="F650" s="78"/>
      <c r="G650" s="78"/>
      <c r="H650" s="2"/>
      <c r="J650" s="2"/>
    </row>
    <row r="651" spans="5:10">
      <c r="E651" s="87"/>
      <c r="F651" s="78"/>
      <c r="G651" s="78"/>
      <c r="H651" s="2"/>
      <c r="J651" s="2"/>
    </row>
    <row r="652" spans="5:10">
      <c r="E652" s="87"/>
      <c r="F652" s="78"/>
      <c r="G652" s="78"/>
      <c r="H652" s="2"/>
      <c r="J652" s="2"/>
    </row>
    <row r="653" spans="5:10">
      <c r="E653" s="87"/>
      <c r="F653" s="78"/>
      <c r="G653" s="78"/>
      <c r="H653" s="2"/>
      <c r="J653" s="2"/>
    </row>
    <row r="654" spans="5:10">
      <c r="E654" s="87"/>
      <c r="F654" s="78"/>
      <c r="G654" s="78"/>
      <c r="H654" s="2"/>
      <c r="J654" s="2"/>
    </row>
    <row r="655" spans="5:10">
      <c r="E655" s="87"/>
      <c r="F655" s="78"/>
      <c r="G655" s="78"/>
      <c r="H655" s="2"/>
      <c r="J655" s="2"/>
    </row>
    <row r="656" spans="5:10">
      <c r="E656" s="87"/>
      <c r="F656" s="78"/>
      <c r="G656" s="78"/>
      <c r="H656" s="2"/>
      <c r="J656" s="2"/>
    </row>
    <row r="657" spans="5:10">
      <c r="E657" s="87"/>
      <c r="F657" s="78"/>
      <c r="G657" s="78"/>
      <c r="H657" s="2"/>
      <c r="J657" s="2"/>
    </row>
    <row r="658" spans="5:10">
      <c r="E658" s="87"/>
      <c r="F658" s="78"/>
      <c r="G658" s="78"/>
      <c r="H658" s="2"/>
      <c r="J658" s="2"/>
    </row>
    <row r="659" spans="5:10">
      <c r="E659" s="87"/>
      <c r="F659" s="78"/>
      <c r="G659" s="78"/>
      <c r="H659" s="2"/>
      <c r="J659" s="2"/>
    </row>
    <row r="660" spans="5:10">
      <c r="E660" s="87"/>
      <c r="F660" s="78"/>
      <c r="G660" s="78"/>
      <c r="H660" s="2"/>
      <c r="J660" s="2"/>
    </row>
    <row r="661" spans="5:10">
      <c r="E661" s="87"/>
      <c r="F661" s="78"/>
      <c r="G661" s="78"/>
      <c r="H661" s="2"/>
      <c r="J661" s="2"/>
    </row>
    <row r="662" spans="5:10">
      <c r="E662" s="87"/>
      <c r="F662" s="78"/>
      <c r="G662" s="78"/>
      <c r="H662" s="2"/>
      <c r="J662" s="2"/>
    </row>
    <row r="663" spans="5:10">
      <c r="E663" s="87"/>
      <c r="F663" s="78"/>
      <c r="G663" s="78"/>
      <c r="H663" s="2"/>
      <c r="J663" s="2"/>
    </row>
    <row r="664" spans="5:10">
      <c r="E664" s="87"/>
      <c r="F664" s="78"/>
      <c r="G664" s="78"/>
      <c r="H664" s="2"/>
      <c r="J664" s="2"/>
    </row>
    <row r="665" spans="5:10">
      <c r="E665" s="87"/>
      <c r="F665" s="78"/>
      <c r="G665" s="78"/>
      <c r="H665" s="2"/>
      <c r="J665" s="2"/>
    </row>
    <row r="666" spans="5:10">
      <c r="E666" s="87"/>
      <c r="F666" s="78"/>
      <c r="G666" s="78"/>
      <c r="H666" s="2"/>
      <c r="J666" s="2"/>
    </row>
    <row r="667" spans="5:10">
      <c r="E667" s="87"/>
      <c r="F667" s="78"/>
      <c r="G667" s="78"/>
      <c r="H667" s="2"/>
      <c r="J667" s="2"/>
    </row>
    <row r="668" spans="5:10">
      <c r="E668" s="87"/>
      <c r="F668" s="78"/>
      <c r="G668" s="78"/>
      <c r="H668" s="2"/>
      <c r="J668" s="2"/>
    </row>
  </sheetData>
  <mergeCells count="1">
    <mergeCell ref="B1:J1"/>
  </mergeCells>
  <printOptions horizontalCentered="1" gridLines="1"/>
  <pageMargins left="0.25" right="0.25" top="0.75" bottom="0.75" header="0.3" footer="0.3"/>
  <pageSetup scale="59" fitToHeight="0" orientation="landscape" r:id="rId1"/>
  <headerFoot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4:W15"/>
  <sheetViews>
    <sheetView zoomScaleNormal="100" workbookViewId="0">
      <selection activeCell="H7" sqref="H7"/>
    </sheetView>
  </sheetViews>
  <sheetFormatPr defaultRowHeight="12.75"/>
  <cols>
    <col min="1" max="1" width="18.7109375" style="62" bestFit="1" customWidth="1"/>
    <col min="2" max="2" width="27.5703125" style="61" bestFit="1" customWidth="1"/>
    <col min="3" max="3" width="25.85546875" style="62" customWidth="1"/>
    <col min="4" max="4" width="24.5703125" style="62" customWidth="1"/>
    <col min="5" max="5" width="15.140625" style="62" customWidth="1"/>
    <col min="6" max="6" width="15.5703125" style="62" customWidth="1"/>
    <col min="7" max="7" width="9.140625" style="62"/>
    <col min="8" max="8" width="13.5703125" style="62" bestFit="1" customWidth="1"/>
    <col min="9" max="9" width="11.42578125" style="62" bestFit="1" customWidth="1"/>
    <col min="10" max="257" width="9.140625" style="62"/>
    <col min="258" max="258" width="18.7109375" style="62" bestFit="1" customWidth="1"/>
    <col min="259" max="259" width="12.7109375" style="62" bestFit="1" customWidth="1"/>
    <col min="260" max="513" width="9.140625" style="62"/>
    <col min="514" max="514" width="18.7109375" style="62" bestFit="1" customWidth="1"/>
    <col min="515" max="515" width="12.7109375" style="62" bestFit="1" customWidth="1"/>
    <col min="516" max="769" width="9.140625" style="62"/>
    <col min="770" max="770" width="18.7109375" style="62" bestFit="1" customWidth="1"/>
    <col min="771" max="771" width="12.7109375" style="62" bestFit="1" customWidth="1"/>
    <col min="772" max="1025" width="9.140625" style="62"/>
    <col min="1026" max="1026" width="18.7109375" style="62" bestFit="1" customWidth="1"/>
    <col min="1027" max="1027" width="12.7109375" style="62" bestFit="1" customWidth="1"/>
    <col min="1028" max="1281" width="9.140625" style="62"/>
    <col min="1282" max="1282" width="18.7109375" style="62" bestFit="1" customWidth="1"/>
    <col min="1283" max="1283" width="12.7109375" style="62" bestFit="1" customWidth="1"/>
    <col min="1284" max="1537" width="9.140625" style="62"/>
    <col min="1538" max="1538" width="18.7109375" style="62" bestFit="1" customWidth="1"/>
    <col min="1539" max="1539" width="12.7109375" style="62" bestFit="1" customWidth="1"/>
    <col min="1540" max="1793" width="9.140625" style="62"/>
    <col min="1794" max="1794" width="18.7109375" style="62" bestFit="1" customWidth="1"/>
    <col min="1795" max="1795" width="12.7109375" style="62" bestFit="1" customWidth="1"/>
    <col min="1796" max="2049" width="9.140625" style="62"/>
    <col min="2050" max="2050" width="18.7109375" style="62" bestFit="1" customWidth="1"/>
    <col min="2051" max="2051" width="12.7109375" style="62" bestFit="1" customWidth="1"/>
    <col min="2052" max="2305" width="9.140625" style="62"/>
    <col min="2306" max="2306" width="18.7109375" style="62" bestFit="1" customWidth="1"/>
    <col min="2307" max="2307" width="12.7109375" style="62" bestFit="1" customWidth="1"/>
    <col min="2308" max="2561" width="9.140625" style="62"/>
    <col min="2562" max="2562" width="18.7109375" style="62" bestFit="1" customWidth="1"/>
    <col min="2563" max="2563" width="12.7109375" style="62" bestFit="1" customWidth="1"/>
    <col min="2564" max="2817" width="9.140625" style="62"/>
    <col min="2818" max="2818" width="18.7109375" style="62" bestFit="1" customWidth="1"/>
    <col min="2819" max="2819" width="12.7109375" style="62" bestFit="1" customWidth="1"/>
    <col min="2820" max="3073" width="9.140625" style="62"/>
    <col min="3074" max="3074" width="18.7109375" style="62" bestFit="1" customWidth="1"/>
    <col min="3075" max="3075" width="12.7109375" style="62" bestFit="1" customWidth="1"/>
    <col min="3076" max="3329" width="9.140625" style="62"/>
    <col min="3330" max="3330" width="18.7109375" style="62" bestFit="1" customWidth="1"/>
    <col min="3331" max="3331" width="12.7109375" style="62" bestFit="1" customWidth="1"/>
    <col min="3332" max="3585" width="9.140625" style="62"/>
    <col min="3586" max="3586" width="18.7109375" style="62" bestFit="1" customWidth="1"/>
    <col min="3587" max="3587" width="12.7109375" style="62" bestFit="1" customWidth="1"/>
    <col min="3588" max="3841" width="9.140625" style="62"/>
    <col min="3842" max="3842" width="18.7109375" style="62" bestFit="1" customWidth="1"/>
    <col min="3843" max="3843" width="12.7109375" style="62" bestFit="1" customWidth="1"/>
    <col min="3844" max="4097" width="9.140625" style="62"/>
    <col min="4098" max="4098" width="18.7109375" style="62" bestFit="1" customWidth="1"/>
    <col min="4099" max="4099" width="12.7109375" style="62" bestFit="1" customWidth="1"/>
    <col min="4100" max="4353" width="9.140625" style="62"/>
    <col min="4354" max="4354" width="18.7109375" style="62" bestFit="1" customWidth="1"/>
    <col min="4355" max="4355" width="12.7109375" style="62" bestFit="1" customWidth="1"/>
    <col min="4356" max="4609" width="9.140625" style="62"/>
    <col min="4610" max="4610" width="18.7109375" style="62" bestFit="1" customWidth="1"/>
    <col min="4611" max="4611" width="12.7109375" style="62" bestFit="1" customWidth="1"/>
    <col min="4612" max="4865" width="9.140625" style="62"/>
    <col min="4866" max="4866" width="18.7109375" style="62" bestFit="1" customWidth="1"/>
    <col min="4867" max="4867" width="12.7109375" style="62" bestFit="1" customWidth="1"/>
    <col min="4868" max="5121" width="9.140625" style="62"/>
    <col min="5122" max="5122" width="18.7109375" style="62" bestFit="1" customWidth="1"/>
    <col min="5123" max="5123" width="12.7109375" style="62" bestFit="1" customWidth="1"/>
    <col min="5124" max="5377" width="9.140625" style="62"/>
    <col min="5378" max="5378" width="18.7109375" style="62" bestFit="1" customWidth="1"/>
    <col min="5379" max="5379" width="12.7109375" style="62" bestFit="1" customWidth="1"/>
    <col min="5380" max="5633" width="9.140625" style="62"/>
    <col min="5634" max="5634" width="18.7109375" style="62" bestFit="1" customWidth="1"/>
    <col min="5635" max="5635" width="12.7109375" style="62" bestFit="1" customWidth="1"/>
    <col min="5636" max="5889" width="9.140625" style="62"/>
    <col min="5890" max="5890" width="18.7109375" style="62" bestFit="1" customWidth="1"/>
    <col min="5891" max="5891" width="12.7109375" style="62" bestFit="1" customWidth="1"/>
    <col min="5892" max="6145" width="9.140625" style="62"/>
    <col min="6146" max="6146" width="18.7109375" style="62" bestFit="1" customWidth="1"/>
    <col min="6147" max="6147" width="12.7109375" style="62" bestFit="1" customWidth="1"/>
    <col min="6148" max="6401" width="9.140625" style="62"/>
    <col min="6402" max="6402" width="18.7109375" style="62" bestFit="1" customWidth="1"/>
    <col min="6403" max="6403" width="12.7109375" style="62" bestFit="1" customWidth="1"/>
    <col min="6404" max="6657" width="9.140625" style="62"/>
    <col min="6658" max="6658" width="18.7109375" style="62" bestFit="1" customWidth="1"/>
    <col min="6659" max="6659" width="12.7109375" style="62" bestFit="1" customWidth="1"/>
    <col min="6660" max="6913" width="9.140625" style="62"/>
    <col min="6914" max="6914" width="18.7109375" style="62" bestFit="1" customWidth="1"/>
    <col min="6915" max="6915" width="12.7109375" style="62" bestFit="1" customWidth="1"/>
    <col min="6916" max="7169" width="9.140625" style="62"/>
    <col min="7170" max="7170" width="18.7109375" style="62" bestFit="1" customWidth="1"/>
    <col min="7171" max="7171" width="12.7109375" style="62" bestFit="1" customWidth="1"/>
    <col min="7172" max="7425" width="9.140625" style="62"/>
    <col min="7426" max="7426" width="18.7109375" style="62" bestFit="1" customWidth="1"/>
    <col min="7427" max="7427" width="12.7109375" style="62" bestFit="1" customWidth="1"/>
    <col min="7428" max="7681" width="9.140625" style="62"/>
    <col min="7682" max="7682" width="18.7109375" style="62" bestFit="1" customWidth="1"/>
    <col min="7683" max="7683" width="12.7109375" style="62" bestFit="1" customWidth="1"/>
    <col min="7684" max="7937" width="9.140625" style="62"/>
    <col min="7938" max="7938" width="18.7109375" style="62" bestFit="1" customWidth="1"/>
    <col min="7939" max="7939" width="12.7109375" style="62" bestFit="1" customWidth="1"/>
    <col min="7940" max="8193" width="9.140625" style="62"/>
    <col min="8194" max="8194" width="18.7109375" style="62" bestFit="1" customWidth="1"/>
    <col min="8195" max="8195" width="12.7109375" style="62" bestFit="1" customWidth="1"/>
    <col min="8196" max="8449" width="9.140625" style="62"/>
    <col min="8450" max="8450" width="18.7109375" style="62" bestFit="1" customWidth="1"/>
    <col min="8451" max="8451" width="12.7109375" style="62" bestFit="1" customWidth="1"/>
    <col min="8452" max="8705" width="9.140625" style="62"/>
    <col min="8706" max="8706" width="18.7109375" style="62" bestFit="1" customWidth="1"/>
    <col min="8707" max="8707" width="12.7109375" style="62" bestFit="1" customWidth="1"/>
    <col min="8708" max="8961" width="9.140625" style="62"/>
    <col min="8962" max="8962" width="18.7109375" style="62" bestFit="1" customWidth="1"/>
    <col min="8963" max="8963" width="12.7109375" style="62" bestFit="1" customWidth="1"/>
    <col min="8964" max="9217" width="9.140625" style="62"/>
    <col min="9218" max="9218" width="18.7109375" style="62" bestFit="1" customWidth="1"/>
    <col min="9219" max="9219" width="12.7109375" style="62" bestFit="1" customWidth="1"/>
    <col min="9220" max="9473" width="9.140625" style="62"/>
    <col min="9474" max="9474" width="18.7109375" style="62" bestFit="1" customWidth="1"/>
    <col min="9475" max="9475" width="12.7109375" style="62" bestFit="1" customWidth="1"/>
    <col min="9476" max="9729" width="9.140625" style="62"/>
    <col min="9730" max="9730" width="18.7109375" style="62" bestFit="1" customWidth="1"/>
    <col min="9731" max="9731" width="12.7109375" style="62" bestFit="1" customWidth="1"/>
    <col min="9732" max="9985" width="9.140625" style="62"/>
    <col min="9986" max="9986" width="18.7109375" style="62" bestFit="1" customWidth="1"/>
    <col min="9987" max="9987" width="12.7109375" style="62" bestFit="1" customWidth="1"/>
    <col min="9988" max="10241" width="9.140625" style="62"/>
    <col min="10242" max="10242" width="18.7109375" style="62" bestFit="1" customWidth="1"/>
    <col min="10243" max="10243" width="12.7109375" style="62" bestFit="1" customWidth="1"/>
    <col min="10244" max="10497" width="9.140625" style="62"/>
    <col min="10498" max="10498" width="18.7109375" style="62" bestFit="1" customWidth="1"/>
    <col min="10499" max="10499" width="12.7109375" style="62" bestFit="1" customWidth="1"/>
    <col min="10500" max="10753" width="9.140625" style="62"/>
    <col min="10754" max="10754" width="18.7109375" style="62" bestFit="1" customWidth="1"/>
    <col min="10755" max="10755" width="12.7109375" style="62" bestFit="1" customWidth="1"/>
    <col min="10756" max="11009" width="9.140625" style="62"/>
    <col min="11010" max="11010" width="18.7109375" style="62" bestFit="1" customWidth="1"/>
    <col min="11011" max="11011" width="12.7109375" style="62" bestFit="1" customWidth="1"/>
    <col min="11012" max="11265" width="9.140625" style="62"/>
    <col min="11266" max="11266" width="18.7109375" style="62" bestFit="1" customWidth="1"/>
    <col min="11267" max="11267" width="12.7109375" style="62" bestFit="1" customWidth="1"/>
    <col min="11268" max="11521" width="9.140625" style="62"/>
    <col min="11522" max="11522" width="18.7109375" style="62" bestFit="1" customWidth="1"/>
    <col min="11523" max="11523" width="12.7109375" style="62" bestFit="1" customWidth="1"/>
    <col min="11524" max="11777" width="9.140625" style="62"/>
    <col min="11778" max="11778" width="18.7109375" style="62" bestFit="1" customWidth="1"/>
    <col min="11779" max="11779" width="12.7109375" style="62" bestFit="1" customWidth="1"/>
    <col min="11780" max="12033" width="9.140625" style="62"/>
    <col min="12034" max="12034" width="18.7109375" style="62" bestFit="1" customWidth="1"/>
    <col min="12035" max="12035" width="12.7109375" style="62" bestFit="1" customWidth="1"/>
    <col min="12036" max="12289" width="9.140625" style="62"/>
    <col min="12290" max="12290" width="18.7109375" style="62" bestFit="1" customWidth="1"/>
    <col min="12291" max="12291" width="12.7109375" style="62" bestFit="1" customWidth="1"/>
    <col min="12292" max="12545" width="9.140625" style="62"/>
    <col min="12546" max="12546" width="18.7109375" style="62" bestFit="1" customWidth="1"/>
    <col min="12547" max="12547" width="12.7109375" style="62" bestFit="1" customWidth="1"/>
    <col min="12548" max="12801" width="9.140625" style="62"/>
    <col min="12802" max="12802" width="18.7109375" style="62" bestFit="1" customWidth="1"/>
    <col min="12803" max="12803" width="12.7109375" style="62" bestFit="1" customWidth="1"/>
    <col min="12804" max="13057" width="9.140625" style="62"/>
    <col min="13058" max="13058" width="18.7109375" style="62" bestFit="1" customWidth="1"/>
    <col min="13059" max="13059" width="12.7109375" style="62" bestFit="1" customWidth="1"/>
    <col min="13060" max="13313" width="9.140625" style="62"/>
    <col min="13314" max="13314" width="18.7109375" style="62" bestFit="1" customWidth="1"/>
    <col min="13315" max="13315" width="12.7109375" style="62" bestFit="1" customWidth="1"/>
    <col min="13316" max="13569" width="9.140625" style="62"/>
    <col min="13570" max="13570" width="18.7109375" style="62" bestFit="1" customWidth="1"/>
    <col min="13571" max="13571" width="12.7109375" style="62" bestFit="1" customWidth="1"/>
    <col min="13572" max="13825" width="9.140625" style="62"/>
    <col min="13826" max="13826" width="18.7109375" style="62" bestFit="1" customWidth="1"/>
    <col min="13827" max="13827" width="12.7109375" style="62" bestFit="1" customWidth="1"/>
    <col min="13828" max="14081" width="9.140625" style="62"/>
    <col min="14082" max="14082" width="18.7109375" style="62" bestFit="1" customWidth="1"/>
    <col min="14083" max="14083" width="12.7109375" style="62" bestFit="1" customWidth="1"/>
    <col min="14084" max="14337" width="9.140625" style="62"/>
    <col min="14338" max="14338" width="18.7109375" style="62" bestFit="1" customWidth="1"/>
    <col min="14339" max="14339" width="12.7109375" style="62" bestFit="1" customWidth="1"/>
    <col min="14340" max="14593" width="9.140625" style="62"/>
    <col min="14594" max="14594" width="18.7109375" style="62" bestFit="1" customWidth="1"/>
    <col min="14595" max="14595" width="12.7109375" style="62" bestFit="1" customWidth="1"/>
    <col min="14596" max="14849" width="9.140625" style="62"/>
    <col min="14850" max="14850" width="18.7109375" style="62" bestFit="1" customWidth="1"/>
    <col min="14851" max="14851" width="12.7109375" style="62" bestFit="1" customWidth="1"/>
    <col min="14852" max="15105" width="9.140625" style="62"/>
    <col min="15106" max="15106" width="18.7109375" style="62" bestFit="1" customWidth="1"/>
    <col min="15107" max="15107" width="12.7109375" style="62" bestFit="1" customWidth="1"/>
    <col min="15108" max="15361" width="9.140625" style="62"/>
    <col min="15362" max="15362" width="18.7109375" style="62" bestFit="1" customWidth="1"/>
    <col min="15363" max="15363" width="12.7109375" style="62" bestFit="1" customWidth="1"/>
    <col min="15364" max="15617" width="9.140625" style="62"/>
    <col min="15618" max="15618" width="18.7109375" style="62" bestFit="1" customWidth="1"/>
    <col min="15619" max="15619" width="12.7109375" style="62" bestFit="1" customWidth="1"/>
    <col min="15620" max="15873" width="9.140625" style="62"/>
    <col min="15874" max="15874" width="18.7109375" style="62" bestFit="1" customWidth="1"/>
    <col min="15875" max="15875" width="12.7109375" style="62" bestFit="1" customWidth="1"/>
    <col min="15876" max="16129" width="9.140625" style="62"/>
    <col min="16130" max="16130" width="18.7109375" style="62" bestFit="1" customWidth="1"/>
    <col min="16131" max="16131" width="12.7109375" style="62" bestFit="1" customWidth="1"/>
    <col min="16132" max="16384" width="9.140625" style="62"/>
  </cols>
  <sheetData>
    <row r="4" spans="2:23">
      <c r="U4" s="61"/>
    </row>
    <row r="5" spans="2:23">
      <c r="C5" s="62" t="s">
        <v>463</v>
      </c>
      <c r="D5" s="62" t="s">
        <v>464</v>
      </c>
      <c r="E5" s="62" t="s">
        <v>465</v>
      </c>
      <c r="U5" s="61"/>
    </row>
    <row r="6" spans="2:23">
      <c r="B6" s="61" t="s">
        <v>466</v>
      </c>
      <c r="C6" s="212">
        <f>'APPENDIX A FOR INPUT'!I13
+'APPENDIX A FOR INPUT'!I19
+'APPENDIX A FOR INPUT'!I33
+'APPENDIX A FOR INPUT'!I42
+'APPENDIX A FOR INPUT'!I56
+'APPENDIX A FOR INPUT'!I76
+'APPENDIX A FOR INPUT'!I89
+'APPENDIX A FOR INPUT'!I100
+'APPENDIX A FOR INPUT'!I106
+'APPENDIX A FOR INPUT'!I121
+'APPENDIX A FOR INPUT'!I136
+'APPENDIX A FOR INPUT'!I149
+'APPENDIX A FOR INPUT'!I154
+'APPENDIX A FOR INPUT'!I165</f>
        <v>1034573.19</v>
      </c>
      <c r="D6" s="251">
        <f>'APPENDIX A FOR INPUT'!F13+'APPENDIX A FOR INPUT'!F19+'APPENDIX A FOR INPUT'!F33+'APPENDIX A FOR INPUT'!F42+'APPENDIX A FOR INPUT'!F56+'APPENDIX A FOR INPUT'!F76+'APPENDIX A FOR INPUT'!F89+'APPENDIX A FOR INPUT'!F100+'APPENDIX A FOR INPUT'!F106+'APPENDIX A FOR INPUT'!F121+'APPENDIX A FOR INPUT'!F136+'APPENDIX A FOR INPUT'!F149+'APPENDIX A FOR INPUT'!F154+'APPENDIX A FOR INPUT'!F165</f>
        <v>922922.25500000012</v>
      </c>
      <c r="E6" s="176">
        <f t="shared" ref="E6:E7" si="0">(C6/D6)-1</f>
        <v>0.12097544987686937</v>
      </c>
      <c r="F6" s="139">
        <f>C6-D6</f>
        <v>111650.93499999982</v>
      </c>
      <c r="U6" s="61"/>
    </row>
    <row r="7" spans="2:23" ht="15">
      <c r="B7" s="61" t="s">
        <v>467</v>
      </c>
      <c r="C7" s="212">
        <f>'APPENDIX A FOR INPUT'!I189+'APPENDIX A FOR INPUT'!I265+'APPENDIX A FOR INPUT'!I289+'APPENDIX A FOR INPUT'!I314+'APPENDIX A FOR INPUT'!I331+'APPENDIX A FOR INPUT'!I351+'APPENDIX A FOR INPUT'!I365+'APPENDIX A FOR INPUT'!I373</f>
        <v>4082104.26</v>
      </c>
      <c r="D7" s="212">
        <f>'APPENDIX A FOR INPUT'!F189+'APPENDIX A FOR INPUT'!F265+'APPENDIX A FOR INPUT'!F289+'APPENDIX A FOR INPUT'!F314+'APPENDIX A FOR INPUT'!F331+'APPENDIX A FOR INPUT'!F351+'APPENDIX A FOR INPUT'!F365+'APPENDIX A FOR INPUT'!F373</f>
        <v>3343723.8839999996</v>
      </c>
      <c r="E7" s="176">
        <f t="shared" si="0"/>
        <v>0.2208257624181269</v>
      </c>
      <c r="F7" s="139">
        <f t="shared" ref="F7:F14" si="1">C7-D7</f>
        <v>738380.37600000016</v>
      </c>
      <c r="H7" s="255"/>
      <c r="U7" s="61"/>
      <c r="W7"/>
    </row>
    <row r="8" spans="2:23" ht="15">
      <c r="B8" s="61" t="s">
        <v>468</v>
      </c>
      <c r="C8" s="212">
        <f>'APPENDIX A FOR INPUT'!I397</f>
        <v>17664612</v>
      </c>
      <c r="D8" s="212">
        <f>'APPENDIX A FOR INPUT'!F397</f>
        <v>15887828.720000001</v>
      </c>
      <c r="E8" s="176">
        <f>(C8/D8)-1</f>
        <v>0.11183298305345768</v>
      </c>
      <c r="F8" s="139">
        <f t="shared" si="1"/>
        <v>1776783.2799999993</v>
      </c>
      <c r="U8" s="61"/>
      <c r="W8" s="67"/>
    </row>
    <row r="9" spans="2:23" ht="15">
      <c r="B9" s="61" t="s">
        <v>469</v>
      </c>
      <c r="C9" s="212">
        <f>'APPENDIX A FOR INPUT'!I436+'APPENDIX A FOR INPUT'!I442+'APPENDIX A FOR INPUT'!I447+'APPENDIX A FOR INPUT'!I457</f>
        <v>1185430</v>
      </c>
      <c r="D9" s="212">
        <f>'APPENDIX A FOR INPUT'!F436+'APPENDIX A FOR INPUT'!F442+'APPENDIX A FOR INPUT'!F447+'APPENDIX A FOR INPUT'!F457</f>
        <v>1086090</v>
      </c>
      <c r="E9" s="176">
        <f t="shared" ref="E9:E14" si="2">(C9/D9)-1</f>
        <v>9.1465716469169234E-2</v>
      </c>
      <c r="F9" s="139">
        <f t="shared" si="1"/>
        <v>99340</v>
      </c>
      <c r="U9" s="61"/>
      <c r="W9" s="67"/>
    </row>
    <row r="10" spans="2:23">
      <c r="B10" s="61" t="s">
        <v>470</v>
      </c>
      <c r="C10" s="212">
        <f>'APPENDIX A FOR INPUT'!I463+'APPENDIX A FOR INPUT'!I478+'APPENDIX A FOR INPUT'!I488</f>
        <v>128915</v>
      </c>
      <c r="D10" s="212">
        <f>'APPENDIX A FOR INPUT'!F463+'APPENDIX A FOR INPUT'!F478+'APPENDIX A FOR INPUT'!F488</f>
        <v>96836</v>
      </c>
      <c r="E10" s="176">
        <f t="shared" si="2"/>
        <v>0.33127142798132936</v>
      </c>
      <c r="F10" s="139">
        <f t="shared" si="1"/>
        <v>32079</v>
      </c>
      <c r="U10" s="61"/>
      <c r="W10" s="68"/>
    </row>
    <row r="11" spans="2:23">
      <c r="B11" s="61" t="s">
        <v>471</v>
      </c>
      <c r="C11" s="212">
        <f>'APPENDIX A FOR INPUT'!I532+'APPENDIX A FOR INPUT'!I524+'APPENDIX A FOR INPUT'!I512</f>
        <v>188879</v>
      </c>
      <c r="D11" s="212">
        <f>'APPENDIX A FOR INPUT'!F532+'APPENDIX A FOR INPUT'!F524+'APPENDIX A FOR INPUT'!F512</f>
        <v>174284</v>
      </c>
      <c r="E11" s="176">
        <f t="shared" si="2"/>
        <v>8.3742626976658796E-2</v>
      </c>
      <c r="F11" s="139">
        <f t="shared" si="1"/>
        <v>14595</v>
      </c>
      <c r="U11" s="61"/>
      <c r="W11" s="61"/>
    </row>
    <row r="12" spans="2:23" ht="15">
      <c r="B12" s="61" t="s">
        <v>472</v>
      </c>
      <c r="C12" s="212">
        <f>'APPENDIX A FOR INPUT'!I548+'APPENDIX A FOR INPUT'!I540</f>
        <v>3867342</v>
      </c>
      <c r="D12" s="212">
        <f>'APPENDIX A FOR INPUT'!F548+'APPENDIX A FOR INPUT'!F540</f>
        <v>1856509.94</v>
      </c>
      <c r="E12" s="176">
        <f t="shared" si="2"/>
        <v>1.083124855232394</v>
      </c>
      <c r="F12" s="139">
        <f t="shared" si="1"/>
        <v>2010832.06</v>
      </c>
      <c r="U12" s="61"/>
      <c r="W12" s="67"/>
    </row>
    <row r="13" spans="2:23" ht="15.75" thickBot="1">
      <c r="B13" s="252" t="s">
        <v>473</v>
      </c>
      <c r="C13" s="253">
        <f>'APPENDIX A FOR INPUT'!I382+'APPENDIX A FOR INPUT'!I217+'APPENDIX A FOR INPUT'!I211+'APPENDIX A FOR INPUT'!I205+'APPENDIX A FOR INPUT'!I200+'APPENDIX A FOR INPUT'!I195</f>
        <v>2265273.9699999997</v>
      </c>
      <c r="D13" s="253">
        <f>'APPENDIX A FOR INPUT'!F382+'APPENDIX A FOR INPUT'!F217+'APPENDIX A FOR INPUT'!F211+'APPENDIX A FOR INPUT'!F205+'APPENDIX A FOR INPUT'!F200+'APPENDIX A FOR INPUT'!F195</f>
        <v>2152977.94</v>
      </c>
      <c r="E13" s="254">
        <f t="shared" si="2"/>
        <v>5.2158467541009612E-2</v>
      </c>
      <c r="F13" s="139">
        <f t="shared" si="1"/>
        <v>112296.0299999998</v>
      </c>
      <c r="H13" s="139"/>
      <c r="W13" s="67"/>
    </row>
    <row r="14" spans="2:23" ht="14.25" thickTop="1" thickBot="1">
      <c r="B14" s="61" t="s">
        <v>474</v>
      </c>
      <c r="C14" s="212">
        <f>SUM(C6:C13)</f>
        <v>30417129.419999998</v>
      </c>
      <c r="D14" s="212">
        <f>SUM(D6:D13)</f>
        <v>25521172.739000004</v>
      </c>
      <c r="E14" s="254">
        <f t="shared" si="2"/>
        <v>0.19183901661063851</v>
      </c>
      <c r="F14" s="139">
        <f t="shared" si="1"/>
        <v>4895956.6809999943</v>
      </c>
      <c r="H14" s="139"/>
      <c r="I14" s="139"/>
    </row>
    <row r="15" spans="2:23" ht="13.5" thickTop="1">
      <c r="D15" s="212"/>
      <c r="I15" s="139"/>
    </row>
  </sheetData>
  <printOptions horizontalCentered="1" verticalCentered="1"/>
  <pageMargins left="0" right="0.2" top="0.75" bottom="0.75" header="0.3" footer="0.3"/>
  <pageSetup scale="94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8"/>
  <sheetViews>
    <sheetView zoomScaleNormal="100" workbookViewId="0">
      <selection activeCell="B15" sqref="B15"/>
    </sheetView>
  </sheetViews>
  <sheetFormatPr defaultRowHeight="12.75"/>
  <cols>
    <col min="1" max="1" width="18.7109375" style="62" bestFit="1" customWidth="1"/>
    <col min="2" max="2" width="15" style="61" bestFit="1" customWidth="1"/>
    <col min="3" max="3" width="12.7109375" style="62" customWidth="1"/>
    <col min="4" max="4" width="14.42578125" style="62" customWidth="1"/>
    <col min="5" max="17" width="12.7109375" style="62" customWidth="1"/>
    <col min="18" max="18" width="9.140625" style="62"/>
    <col min="19" max="19" width="11.7109375" style="62" bestFit="1" customWidth="1"/>
    <col min="20" max="256" width="9.140625" style="62"/>
    <col min="257" max="257" width="18.7109375" style="62" bestFit="1" customWidth="1"/>
    <col min="258" max="258" width="12.7109375" style="62" bestFit="1" customWidth="1"/>
    <col min="259" max="273" width="12.7109375" style="62" customWidth="1"/>
    <col min="274" max="512" width="9.140625" style="62"/>
    <col min="513" max="513" width="18.7109375" style="62" bestFit="1" customWidth="1"/>
    <col min="514" max="514" width="12.7109375" style="62" bestFit="1" customWidth="1"/>
    <col min="515" max="529" width="12.7109375" style="62" customWidth="1"/>
    <col min="530" max="768" width="9.140625" style="62"/>
    <col min="769" max="769" width="18.7109375" style="62" bestFit="1" customWidth="1"/>
    <col min="770" max="770" width="12.7109375" style="62" bestFit="1" customWidth="1"/>
    <col min="771" max="785" width="12.7109375" style="62" customWidth="1"/>
    <col min="786" max="1024" width="9.140625" style="62"/>
    <col min="1025" max="1025" width="18.7109375" style="62" bestFit="1" customWidth="1"/>
    <col min="1026" max="1026" width="12.7109375" style="62" bestFit="1" customWidth="1"/>
    <col min="1027" max="1041" width="12.7109375" style="62" customWidth="1"/>
    <col min="1042" max="1280" width="9.140625" style="62"/>
    <col min="1281" max="1281" width="18.7109375" style="62" bestFit="1" customWidth="1"/>
    <col min="1282" max="1282" width="12.7109375" style="62" bestFit="1" customWidth="1"/>
    <col min="1283" max="1297" width="12.7109375" style="62" customWidth="1"/>
    <col min="1298" max="1536" width="9.140625" style="62"/>
    <col min="1537" max="1537" width="18.7109375" style="62" bestFit="1" customWidth="1"/>
    <col min="1538" max="1538" width="12.7109375" style="62" bestFit="1" customWidth="1"/>
    <col min="1539" max="1553" width="12.7109375" style="62" customWidth="1"/>
    <col min="1554" max="1792" width="9.140625" style="62"/>
    <col min="1793" max="1793" width="18.7109375" style="62" bestFit="1" customWidth="1"/>
    <col min="1794" max="1794" width="12.7109375" style="62" bestFit="1" customWidth="1"/>
    <col min="1795" max="1809" width="12.7109375" style="62" customWidth="1"/>
    <col min="1810" max="2048" width="9.140625" style="62"/>
    <col min="2049" max="2049" width="18.7109375" style="62" bestFit="1" customWidth="1"/>
    <col min="2050" max="2050" width="12.7109375" style="62" bestFit="1" customWidth="1"/>
    <col min="2051" max="2065" width="12.7109375" style="62" customWidth="1"/>
    <col min="2066" max="2304" width="9.140625" style="62"/>
    <col min="2305" max="2305" width="18.7109375" style="62" bestFit="1" customWidth="1"/>
    <col min="2306" max="2306" width="12.7109375" style="62" bestFit="1" customWidth="1"/>
    <col min="2307" max="2321" width="12.7109375" style="62" customWidth="1"/>
    <col min="2322" max="2560" width="9.140625" style="62"/>
    <col min="2561" max="2561" width="18.7109375" style="62" bestFit="1" customWidth="1"/>
    <col min="2562" max="2562" width="12.7109375" style="62" bestFit="1" customWidth="1"/>
    <col min="2563" max="2577" width="12.7109375" style="62" customWidth="1"/>
    <col min="2578" max="2816" width="9.140625" style="62"/>
    <col min="2817" max="2817" width="18.7109375" style="62" bestFit="1" customWidth="1"/>
    <col min="2818" max="2818" width="12.7109375" style="62" bestFit="1" customWidth="1"/>
    <col min="2819" max="2833" width="12.7109375" style="62" customWidth="1"/>
    <col min="2834" max="3072" width="9.140625" style="62"/>
    <col min="3073" max="3073" width="18.7109375" style="62" bestFit="1" customWidth="1"/>
    <col min="3074" max="3074" width="12.7109375" style="62" bestFit="1" customWidth="1"/>
    <col min="3075" max="3089" width="12.7109375" style="62" customWidth="1"/>
    <col min="3090" max="3328" width="9.140625" style="62"/>
    <col min="3329" max="3329" width="18.7109375" style="62" bestFit="1" customWidth="1"/>
    <col min="3330" max="3330" width="12.7109375" style="62" bestFit="1" customWidth="1"/>
    <col min="3331" max="3345" width="12.7109375" style="62" customWidth="1"/>
    <col min="3346" max="3584" width="9.140625" style="62"/>
    <col min="3585" max="3585" width="18.7109375" style="62" bestFit="1" customWidth="1"/>
    <col min="3586" max="3586" width="12.7109375" style="62" bestFit="1" customWidth="1"/>
    <col min="3587" max="3601" width="12.7109375" style="62" customWidth="1"/>
    <col min="3602" max="3840" width="9.140625" style="62"/>
    <col min="3841" max="3841" width="18.7109375" style="62" bestFit="1" customWidth="1"/>
    <col min="3842" max="3842" width="12.7109375" style="62" bestFit="1" customWidth="1"/>
    <col min="3843" max="3857" width="12.7109375" style="62" customWidth="1"/>
    <col min="3858" max="4096" width="9.140625" style="62"/>
    <col min="4097" max="4097" width="18.7109375" style="62" bestFit="1" customWidth="1"/>
    <col min="4098" max="4098" width="12.7109375" style="62" bestFit="1" customWidth="1"/>
    <col min="4099" max="4113" width="12.7109375" style="62" customWidth="1"/>
    <col min="4114" max="4352" width="9.140625" style="62"/>
    <col min="4353" max="4353" width="18.7109375" style="62" bestFit="1" customWidth="1"/>
    <col min="4354" max="4354" width="12.7109375" style="62" bestFit="1" customWidth="1"/>
    <col min="4355" max="4369" width="12.7109375" style="62" customWidth="1"/>
    <col min="4370" max="4608" width="9.140625" style="62"/>
    <col min="4609" max="4609" width="18.7109375" style="62" bestFit="1" customWidth="1"/>
    <col min="4610" max="4610" width="12.7109375" style="62" bestFit="1" customWidth="1"/>
    <col min="4611" max="4625" width="12.7109375" style="62" customWidth="1"/>
    <col min="4626" max="4864" width="9.140625" style="62"/>
    <col min="4865" max="4865" width="18.7109375" style="62" bestFit="1" customWidth="1"/>
    <col min="4866" max="4866" width="12.7109375" style="62" bestFit="1" customWidth="1"/>
    <col min="4867" max="4881" width="12.7109375" style="62" customWidth="1"/>
    <col min="4882" max="5120" width="9.140625" style="62"/>
    <col min="5121" max="5121" width="18.7109375" style="62" bestFit="1" customWidth="1"/>
    <col min="5122" max="5122" width="12.7109375" style="62" bestFit="1" customWidth="1"/>
    <col min="5123" max="5137" width="12.7109375" style="62" customWidth="1"/>
    <col min="5138" max="5376" width="9.140625" style="62"/>
    <col min="5377" max="5377" width="18.7109375" style="62" bestFit="1" customWidth="1"/>
    <col min="5378" max="5378" width="12.7109375" style="62" bestFit="1" customWidth="1"/>
    <col min="5379" max="5393" width="12.7109375" style="62" customWidth="1"/>
    <col min="5394" max="5632" width="9.140625" style="62"/>
    <col min="5633" max="5633" width="18.7109375" style="62" bestFit="1" customWidth="1"/>
    <col min="5634" max="5634" width="12.7109375" style="62" bestFit="1" customWidth="1"/>
    <col min="5635" max="5649" width="12.7109375" style="62" customWidth="1"/>
    <col min="5650" max="5888" width="9.140625" style="62"/>
    <col min="5889" max="5889" width="18.7109375" style="62" bestFit="1" customWidth="1"/>
    <col min="5890" max="5890" width="12.7109375" style="62" bestFit="1" customWidth="1"/>
    <col min="5891" max="5905" width="12.7109375" style="62" customWidth="1"/>
    <col min="5906" max="6144" width="9.140625" style="62"/>
    <col min="6145" max="6145" width="18.7109375" style="62" bestFit="1" customWidth="1"/>
    <col min="6146" max="6146" width="12.7109375" style="62" bestFit="1" customWidth="1"/>
    <col min="6147" max="6161" width="12.7109375" style="62" customWidth="1"/>
    <col min="6162" max="6400" width="9.140625" style="62"/>
    <col min="6401" max="6401" width="18.7109375" style="62" bestFit="1" customWidth="1"/>
    <col min="6402" max="6402" width="12.7109375" style="62" bestFit="1" customWidth="1"/>
    <col min="6403" max="6417" width="12.7109375" style="62" customWidth="1"/>
    <col min="6418" max="6656" width="9.140625" style="62"/>
    <col min="6657" max="6657" width="18.7109375" style="62" bestFit="1" customWidth="1"/>
    <col min="6658" max="6658" width="12.7109375" style="62" bestFit="1" customWidth="1"/>
    <col min="6659" max="6673" width="12.7109375" style="62" customWidth="1"/>
    <col min="6674" max="6912" width="9.140625" style="62"/>
    <col min="6913" max="6913" width="18.7109375" style="62" bestFit="1" customWidth="1"/>
    <col min="6914" max="6914" width="12.7109375" style="62" bestFit="1" customWidth="1"/>
    <col min="6915" max="6929" width="12.7109375" style="62" customWidth="1"/>
    <col min="6930" max="7168" width="9.140625" style="62"/>
    <col min="7169" max="7169" width="18.7109375" style="62" bestFit="1" customWidth="1"/>
    <col min="7170" max="7170" width="12.7109375" style="62" bestFit="1" customWidth="1"/>
    <col min="7171" max="7185" width="12.7109375" style="62" customWidth="1"/>
    <col min="7186" max="7424" width="9.140625" style="62"/>
    <col min="7425" max="7425" width="18.7109375" style="62" bestFit="1" customWidth="1"/>
    <col min="7426" max="7426" width="12.7109375" style="62" bestFit="1" customWidth="1"/>
    <col min="7427" max="7441" width="12.7109375" style="62" customWidth="1"/>
    <col min="7442" max="7680" width="9.140625" style="62"/>
    <col min="7681" max="7681" width="18.7109375" style="62" bestFit="1" customWidth="1"/>
    <col min="7682" max="7682" width="12.7109375" style="62" bestFit="1" customWidth="1"/>
    <col min="7683" max="7697" width="12.7109375" style="62" customWidth="1"/>
    <col min="7698" max="7936" width="9.140625" style="62"/>
    <col min="7937" max="7937" width="18.7109375" style="62" bestFit="1" customWidth="1"/>
    <col min="7938" max="7938" width="12.7109375" style="62" bestFit="1" customWidth="1"/>
    <col min="7939" max="7953" width="12.7109375" style="62" customWidth="1"/>
    <col min="7954" max="8192" width="9.140625" style="62"/>
    <col min="8193" max="8193" width="18.7109375" style="62" bestFit="1" customWidth="1"/>
    <col min="8194" max="8194" width="12.7109375" style="62" bestFit="1" customWidth="1"/>
    <col min="8195" max="8209" width="12.7109375" style="62" customWidth="1"/>
    <col min="8210" max="8448" width="9.140625" style="62"/>
    <col min="8449" max="8449" width="18.7109375" style="62" bestFit="1" customWidth="1"/>
    <col min="8450" max="8450" width="12.7109375" style="62" bestFit="1" customWidth="1"/>
    <col min="8451" max="8465" width="12.7109375" style="62" customWidth="1"/>
    <col min="8466" max="8704" width="9.140625" style="62"/>
    <col min="8705" max="8705" width="18.7109375" style="62" bestFit="1" customWidth="1"/>
    <col min="8706" max="8706" width="12.7109375" style="62" bestFit="1" customWidth="1"/>
    <col min="8707" max="8721" width="12.7109375" style="62" customWidth="1"/>
    <col min="8722" max="8960" width="9.140625" style="62"/>
    <col min="8961" max="8961" width="18.7109375" style="62" bestFit="1" customWidth="1"/>
    <col min="8962" max="8962" width="12.7109375" style="62" bestFit="1" customWidth="1"/>
    <col min="8963" max="8977" width="12.7109375" style="62" customWidth="1"/>
    <col min="8978" max="9216" width="9.140625" style="62"/>
    <col min="9217" max="9217" width="18.7109375" style="62" bestFit="1" customWidth="1"/>
    <col min="9218" max="9218" width="12.7109375" style="62" bestFit="1" customWidth="1"/>
    <col min="9219" max="9233" width="12.7109375" style="62" customWidth="1"/>
    <col min="9234" max="9472" width="9.140625" style="62"/>
    <col min="9473" max="9473" width="18.7109375" style="62" bestFit="1" customWidth="1"/>
    <col min="9474" max="9474" width="12.7109375" style="62" bestFit="1" customWidth="1"/>
    <col min="9475" max="9489" width="12.7109375" style="62" customWidth="1"/>
    <col min="9490" max="9728" width="9.140625" style="62"/>
    <col min="9729" max="9729" width="18.7109375" style="62" bestFit="1" customWidth="1"/>
    <col min="9730" max="9730" width="12.7109375" style="62" bestFit="1" customWidth="1"/>
    <col min="9731" max="9745" width="12.7109375" style="62" customWidth="1"/>
    <col min="9746" max="9984" width="9.140625" style="62"/>
    <col min="9985" max="9985" width="18.7109375" style="62" bestFit="1" customWidth="1"/>
    <col min="9986" max="9986" width="12.7109375" style="62" bestFit="1" customWidth="1"/>
    <col min="9987" max="10001" width="12.7109375" style="62" customWidth="1"/>
    <col min="10002" max="10240" width="9.140625" style="62"/>
    <col min="10241" max="10241" width="18.7109375" style="62" bestFit="1" customWidth="1"/>
    <col min="10242" max="10242" width="12.7109375" style="62" bestFit="1" customWidth="1"/>
    <col min="10243" max="10257" width="12.7109375" style="62" customWidth="1"/>
    <col min="10258" max="10496" width="9.140625" style="62"/>
    <col min="10497" max="10497" width="18.7109375" style="62" bestFit="1" customWidth="1"/>
    <col min="10498" max="10498" width="12.7109375" style="62" bestFit="1" customWidth="1"/>
    <col min="10499" max="10513" width="12.7109375" style="62" customWidth="1"/>
    <col min="10514" max="10752" width="9.140625" style="62"/>
    <col min="10753" max="10753" width="18.7109375" style="62" bestFit="1" customWidth="1"/>
    <col min="10754" max="10754" width="12.7109375" style="62" bestFit="1" customWidth="1"/>
    <col min="10755" max="10769" width="12.7109375" style="62" customWidth="1"/>
    <col min="10770" max="11008" width="9.140625" style="62"/>
    <col min="11009" max="11009" width="18.7109375" style="62" bestFit="1" customWidth="1"/>
    <col min="11010" max="11010" width="12.7109375" style="62" bestFit="1" customWidth="1"/>
    <col min="11011" max="11025" width="12.7109375" style="62" customWidth="1"/>
    <col min="11026" max="11264" width="9.140625" style="62"/>
    <col min="11265" max="11265" width="18.7109375" style="62" bestFit="1" customWidth="1"/>
    <col min="11266" max="11266" width="12.7109375" style="62" bestFit="1" customWidth="1"/>
    <col min="11267" max="11281" width="12.7109375" style="62" customWidth="1"/>
    <col min="11282" max="11520" width="9.140625" style="62"/>
    <col min="11521" max="11521" width="18.7109375" style="62" bestFit="1" customWidth="1"/>
    <col min="11522" max="11522" width="12.7109375" style="62" bestFit="1" customWidth="1"/>
    <col min="11523" max="11537" width="12.7109375" style="62" customWidth="1"/>
    <col min="11538" max="11776" width="9.140625" style="62"/>
    <col min="11777" max="11777" width="18.7109375" style="62" bestFit="1" customWidth="1"/>
    <col min="11778" max="11778" width="12.7109375" style="62" bestFit="1" customWidth="1"/>
    <col min="11779" max="11793" width="12.7109375" style="62" customWidth="1"/>
    <col min="11794" max="12032" width="9.140625" style="62"/>
    <col min="12033" max="12033" width="18.7109375" style="62" bestFit="1" customWidth="1"/>
    <col min="12034" max="12034" width="12.7109375" style="62" bestFit="1" customWidth="1"/>
    <col min="12035" max="12049" width="12.7109375" style="62" customWidth="1"/>
    <col min="12050" max="12288" width="9.140625" style="62"/>
    <col min="12289" max="12289" width="18.7109375" style="62" bestFit="1" customWidth="1"/>
    <col min="12290" max="12290" width="12.7109375" style="62" bestFit="1" customWidth="1"/>
    <col min="12291" max="12305" width="12.7109375" style="62" customWidth="1"/>
    <col min="12306" max="12544" width="9.140625" style="62"/>
    <col min="12545" max="12545" width="18.7109375" style="62" bestFit="1" customWidth="1"/>
    <col min="12546" max="12546" width="12.7109375" style="62" bestFit="1" customWidth="1"/>
    <col min="12547" max="12561" width="12.7109375" style="62" customWidth="1"/>
    <col min="12562" max="12800" width="9.140625" style="62"/>
    <col min="12801" max="12801" width="18.7109375" style="62" bestFit="1" customWidth="1"/>
    <col min="12802" max="12802" width="12.7109375" style="62" bestFit="1" customWidth="1"/>
    <col min="12803" max="12817" width="12.7109375" style="62" customWidth="1"/>
    <col min="12818" max="13056" width="9.140625" style="62"/>
    <col min="13057" max="13057" width="18.7109375" style="62" bestFit="1" customWidth="1"/>
    <col min="13058" max="13058" width="12.7109375" style="62" bestFit="1" customWidth="1"/>
    <col min="13059" max="13073" width="12.7109375" style="62" customWidth="1"/>
    <col min="13074" max="13312" width="9.140625" style="62"/>
    <col min="13313" max="13313" width="18.7109375" style="62" bestFit="1" customWidth="1"/>
    <col min="13314" max="13314" width="12.7109375" style="62" bestFit="1" customWidth="1"/>
    <col min="13315" max="13329" width="12.7109375" style="62" customWidth="1"/>
    <col min="13330" max="13568" width="9.140625" style="62"/>
    <col min="13569" max="13569" width="18.7109375" style="62" bestFit="1" customWidth="1"/>
    <col min="13570" max="13570" width="12.7109375" style="62" bestFit="1" customWidth="1"/>
    <col min="13571" max="13585" width="12.7109375" style="62" customWidth="1"/>
    <col min="13586" max="13824" width="9.140625" style="62"/>
    <col min="13825" max="13825" width="18.7109375" style="62" bestFit="1" customWidth="1"/>
    <col min="13826" max="13826" width="12.7109375" style="62" bestFit="1" customWidth="1"/>
    <col min="13827" max="13841" width="12.7109375" style="62" customWidth="1"/>
    <col min="13842" max="14080" width="9.140625" style="62"/>
    <col min="14081" max="14081" width="18.7109375" style="62" bestFit="1" customWidth="1"/>
    <col min="14082" max="14082" width="12.7109375" style="62" bestFit="1" customWidth="1"/>
    <col min="14083" max="14097" width="12.7109375" style="62" customWidth="1"/>
    <col min="14098" max="14336" width="9.140625" style="62"/>
    <col min="14337" max="14337" width="18.7109375" style="62" bestFit="1" customWidth="1"/>
    <col min="14338" max="14338" width="12.7109375" style="62" bestFit="1" customWidth="1"/>
    <col min="14339" max="14353" width="12.7109375" style="62" customWidth="1"/>
    <col min="14354" max="14592" width="9.140625" style="62"/>
    <col min="14593" max="14593" width="18.7109375" style="62" bestFit="1" customWidth="1"/>
    <col min="14594" max="14594" width="12.7109375" style="62" bestFit="1" customWidth="1"/>
    <col min="14595" max="14609" width="12.7109375" style="62" customWidth="1"/>
    <col min="14610" max="14848" width="9.140625" style="62"/>
    <col min="14849" max="14849" width="18.7109375" style="62" bestFit="1" customWidth="1"/>
    <col min="14850" max="14850" width="12.7109375" style="62" bestFit="1" customWidth="1"/>
    <col min="14851" max="14865" width="12.7109375" style="62" customWidth="1"/>
    <col min="14866" max="15104" width="9.140625" style="62"/>
    <col min="15105" max="15105" width="18.7109375" style="62" bestFit="1" customWidth="1"/>
    <col min="15106" max="15106" width="12.7109375" style="62" bestFit="1" customWidth="1"/>
    <col min="15107" max="15121" width="12.7109375" style="62" customWidth="1"/>
    <col min="15122" max="15360" width="9.140625" style="62"/>
    <col min="15361" max="15361" width="18.7109375" style="62" bestFit="1" customWidth="1"/>
    <col min="15362" max="15362" width="12.7109375" style="62" bestFit="1" customWidth="1"/>
    <col min="15363" max="15377" width="12.7109375" style="62" customWidth="1"/>
    <col min="15378" max="15616" width="9.140625" style="62"/>
    <col min="15617" max="15617" width="18.7109375" style="62" bestFit="1" customWidth="1"/>
    <col min="15618" max="15618" width="12.7109375" style="62" bestFit="1" customWidth="1"/>
    <col min="15619" max="15633" width="12.7109375" style="62" customWidth="1"/>
    <col min="15634" max="15872" width="9.140625" style="62"/>
    <col min="15873" max="15873" width="18.7109375" style="62" bestFit="1" customWidth="1"/>
    <col min="15874" max="15874" width="12.7109375" style="62" bestFit="1" customWidth="1"/>
    <col min="15875" max="15889" width="12.7109375" style="62" customWidth="1"/>
    <col min="15890" max="16128" width="9.140625" style="62"/>
    <col min="16129" max="16129" width="18.7109375" style="62" bestFit="1" customWidth="1"/>
    <col min="16130" max="16130" width="12.7109375" style="62" bestFit="1" customWidth="1"/>
    <col min="16131" max="16145" width="12.7109375" style="62" customWidth="1"/>
    <col min="16146" max="16384" width="9.140625" style="62"/>
  </cols>
  <sheetData>
    <row r="1" spans="1:19">
      <c r="B1" s="62"/>
      <c r="J1" s="61"/>
    </row>
    <row r="2" spans="1:19">
      <c r="A2" s="63" t="s">
        <v>475</v>
      </c>
      <c r="B2" s="64">
        <v>46388</v>
      </c>
      <c r="C2" s="64">
        <v>46024</v>
      </c>
      <c r="D2" s="64">
        <v>45659</v>
      </c>
      <c r="E2" s="64">
        <v>45295</v>
      </c>
      <c r="F2" s="64">
        <v>44931</v>
      </c>
      <c r="G2" s="64">
        <v>44203</v>
      </c>
      <c r="H2" s="64">
        <v>43839</v>
      </c>
      <c r="I2" s="64"/>
      <c r="J2" s="64"/>
      <c r="K2" s="64"/>
      <c r="L2" s="64"/>
      <c r="M2" s="64"/>
      <c r="N2" s="64"/>
      <c r="O2" s="64"/>
      <c r="P2" s="64"/>
      <c r="Q2" s="64"/>
      <c r="R2" s="64"/>
      <c r="S2" s="65"/>
    </row>
    <row r="3" spans="1:19" ht="15">
      <c r="A3" s="62" t="s">
        <v>476</v>
      </c>
      <c r="B3" s="139">
        <f>SUM('Final Page for Print'!C7:C11)</f>
        <v>16975054.800175004</v>
      </c>
      <c r="C3" s="66">
        <f>SUM('Final Page for Print'!B7:B11)</f>
        <v>14488424.867000001</v>
      </c>
      <c r="D3" s="66">
        <v>13432750</v>
      </c>
      <c r="E3" s="100">
        <v>12686344</v>
      </c>
      <c r="F3" s="212">
        <v>12001514</v>
      </c>
      <c r="I3" s="61"/>
      <c r="J3" s="61"/>
      <c r="K3" s="61"/>
      <c r="L3" s="61"/>
      <c r="M3" s="61"/>
      <c r="N3" s="61"/>
      <c r="O3" s="61"/>
      <c r="P3" s="61"/>
      <c r="Q3" s="61"/>
      <c r="R3" s="61"/>
      <c r="S3" s="66"/>
    </row>
    <row r="4" spans="1:19">
      <c r="A4" s="62" t="s">
        <v>477</v>
      </c>
      <c r="B4" s="66">
        <f>SUM('Final Page for Print'!C12:C19)</f>
        <v>6474158</v>
      </c>
      <c r="C4" s="66">
        <f>SUM('Final Page for Print'!B12:B19)</f>
        <v>6220733</v>
      </c>
      <c r="D4" s="66">
        <v>5917330</v>
      </c>
      <c r="E4" s="212">
        <v>5780886</v>
      </c>
      <c r="F4" s="212">
        <v>5553446</v>
      </c>
      <c r="I4" s="61"/>
      <c r="J4" s="61"/>
      <c r="K4" s="61"/>
      <c r="L4" s="61"/>
      <c r="M4" s="61"/>
      <c r="N4" s="61"/>
      <c r="O4" s="61"/>
      <c r="P4" s="61"/>
      <c r="Q4" s="61"/>
      <c r="R4" s="61"/>
      <c r="S4" s="66"/>
    </row>
    <row r="5" spans="1:19">
      <c r="A5" s="62" t="s">
        <v>88</v>
      </c>
      <c r="B5" s="66">
        <f>SUM('Final Page for Print'!C20:C29)</f>
        <v>1862232.6</v>
      </c>
      <c r="C5" s="66">
        <f>SUM('Final Page for Print'!B20:B29)</f>
        <v>1594614</v>
      </c>
      <c r="D5" s="66">
        <v>1407720</v>
      </c>
      <c r="E5" s="212">
        <v>1369720</v>
      </c>
      <c r="F5" s="212">
        <v>1222720</v>
      </c>
      <c r="I5" s="61"/>
      <c r="J5" s="61"/>
      <c r="K5" s="61"/>
      <c r="L5" s="61"/>
      <c r="M5" s="61"/>
      <c r="N5" s="61"/>
      <c r="O5" s="61"/>
      <c r="P5" s="61"/>
      <c r="Q5" s="61"/>
      <c r="R5" s="61"/>
      <c r="S5" s="66"/>
    </row>
    <row r="6" spans="1:19">
      <c r="A6" s="62" t="s">
        <v>478</v>
      </c>
      <c r="B6" s="66">
        <f>SUM('Final Page for Print'!C32)</f>
        <v>3123111</v>
      </c>
      <c r="C6" s="66">
        <f>SUM('Final Page for Print'!B32)</f>
        <v>3013899</v>
      </c>
      <c r="D6" s="66">
        <v>2747558</v>
      </c>
      <c r="E6" s="212">
        <v>2779717</v>
      </c>
      <c r="F6" s="212">
        <v>2694331</v>
      </c>
      <c r="I6" s="61"/>
      <c r="J6" s="61"/>
      <c r="K6" s="61"/>
      <c r="L6" s="61"/>
      <c r="M6" s="61"/>
      <c r="N6" s="61"/>
      <c r="O6" s="61"/>
      <c r="P6" s="61"/>
      <c r="Q6" s="61"/>
      <c r="R6" s="61"/>
      <c r="S6" s="66"/>
    </row>
    <row r="7" spans="1:19">
      <c r="A7" s="62" t="s">
        <v>64</v>
      </c>
      <c r="B7" s="66">
        <f>SUM('Final Page for Print'!C30)</f>
        <v>485000</v>
      </c>
      <c r="C7" s="66">
        <f>SUM('Final Page for Print'!B30)</f>
        <v>485000</v>
      </c>
      <c r="D7" s="66">
        <v>450000</v>
      </c>
      <c r="E7" s="212">
        <v>575000</v>
      </c>
      <c r="F7" s="212">
        <v>328000</v>
      </c>
      <c r="I7" s="61"/>
      <c r="J7" s="61"/>
      <c r="K7" s="61"/>
      <c r="L7" s="61"/>
      <c r="M7" s="61"/>
      <c r="N7" s="61"/>
      <c r="O7" s="61"/>
      <c r="P7" s="61"/>
      <c r="Q7" s="61"/>
      <c r="R7" s="61"/>
      <c r="S7" s="66"/>
    </row>
    <row r="8" spans="1:19">
      <c r="A8" s="62" t="s">
        <v>479</v>
      </c>
      <c r="B8" s="66">
        <f>SUM('Final Page for Print'!C34:C35)</f>
        <v>0</v>
      </c>
      <c r="C8" s="66">
        <f>SUM('Final Page for Print'!B34:B35)</f>
        <v>985432</v>
      </c>
      <c r="D8" s="66">
        <v>865342</v>
      </c>
      <c r="E8" s="212">
        <v>565576</v>
      </c>
      <c r="F8" s="212">
        <v>389728</v>
      </c>
    </row>
    <row r="9" spans="1:19">
      <c r="A9" s="62" t="s">
        <v>474</v>
      </c>
      <c r="B9" s="139">
        <f>SUM(B3:B8)</f>
        <v>28919556.400175005</v>
      </c>
      <c r="C9" s="66">
        <f>SUM(C3:C8)</f>
        <v>26788102.866999999</v>
      </c>
      <c r="D9" s="66">
        <f>SUM(D3:D8)</f>
        <v>24820700</v>
      </c>
      <c r="E9" s="212">
        <f>SUM(E3:E8)</f>
        <v>23757243</v>
      </c>
      <c r="F9" s="212">
        <f>SUM(F3:F8)</f>
        <v>22189739</v>
      </c>
    </row>
    <row r="18" spans="2:2">
      <c r="B18" s="140"/>
    </row>
  </sheetData>
  <printOptions horizontalCentered="1" verticalCentered="1"/>
  <pageMargins left="0" right="0.2" top="0.75" bottom="0.75" header="0.3" footer="0.3"/>
  <pageSetup scale="88" orientation="landscape" r:id="rId1"/>
  <headerFooter>
    <oddFooter>&amp;C&amp;P</oddFooter>
  </headerFooter>
  <rowBreaks count="1" manualBreakCount="1">
    <brk id="43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472"/>
  <sheetViews>
    <sheetView zoomScaleNormal="100" workbookViewId="0">
      <pane ySplit="5" topLeftCell="A438" activePane="bottomLeft" state="frozen"/>
      <selection pane="bottomLeft" activeCell="H460" sqref="H460"/>
    </sheetView>
  </sheetViews>
  <sheetFormatPr defaultRowHeight="15"/>
  <cols>
    <col min="1" max="1" width="57.7109375" customWidth="1"/>
    <col min="2" max="2" width="10.5703125" customWidth="1"/>
    <col min="3" max="3" width="10.85546875" hidden="1" customWidth="1"/>
    <col min="4" max="4" width="13.5703125" customWidth="1"/>
    <col min="5" max="5" width="12.28515625" customWidth="1"/>
    <col min="7" max="7" width="15.140625" customWidth="1"/>
    <col min="8" max="8" width="15.5703125" customWidth="1"/>
    <col min="9" max="9" width="9.140625" customWidth="1"/>
  </cols>
  <sheetData>
    <row r="1" spans="1:5" ht="23.25">
      <c r="A1" s="265" t="s">
        <v>480</v>
      </c>
      <c r="B1" s="266"/>
      <c r="C1" s="266"/>
      <c r="D1" s="266"/>
      <c r="E1" s="266"/>
    </row>
    <row r="3" spans="1:5">
      <c r="B3" s="10" t="s">
        <v>83</v>
      </c>
      <c r="C3" s="11" t="e">
        <f>'APPENDIX A FOR INPUT'!#REF!</f>
        <v>#REF!</v>
      </c>
      <c r="D3" s="10"/>
    </row>
    <row r="4" spans="1:5">
      <c r="B4" s="10" t="s">
        <v>481</v>
      </c>
      <c r="C4" s="11" t="s">
        <v>482</v>
      </c>
      <c r="D4" s="10" t="s">
        <v>483</v>
      </c>
      <c r="E4" s="10" t="s">
        <v>484</v>
      </c>
    </row>
    <row r="5" spans="1:5">
      <c r="B5" s="10" t="s">
        <v>485</v>
      </c>
      <c r="C5" s="11" t="e">
        <f>'APPENDIX A FOR INPUT'!#REF!</f>
        <v>#REF!</v>
      </c>
      <c r="D5" s="10" t="s">
        <v>7</v>
      </c>
      <c r="E5" s="10" t="s">
        <v>486</v>
      </c>
    </row>
    <row r="8" spans="1:5" ht="15.75">
      <c r="A8" s="9" t="s">
        <v>487</v>
      </c>
      <c r="B8" s="9" t="str">
        <f>'APPENDIX A FOR INPUT'!C10</f>
        <v>RESERVE FUND</v>
      </c>
      <c r="C8" s="9"/>
      <c r="D8" s="9"/>
      <c r="E8" s="9"/>
    </row>
    <row r="9" spans="1:5">
      <c r="A9" t="s">
        <v>488</v>
      </c>
    </row>
    <row r="10" spans="1:5">
      <c r="A10" s="12"/>
      <c r="B10" s="12"/>
      <c r="C10" s="12"/>
      <c r="D10" s="12"/>
      <c r="E10" s="12"/>
    </row>
    <row r="11" spans="1:5">
      <c r="A11" s="12" t="s">
        <v>489</v>
      </c>
      <c r="B11" s="13">
        <f>'APPENDIX A FOR INPUT'!E11</f>
        <v>25000</v>
      </c>
      <c r="C11" s="13" t="e">
        <f>'APPENDIX A FOR INPUT'!#REF!</f>
        <v>#REF!</v>
      </c>
      <c r="D11" s="13" t="e">
        <f>'APPENDIX A FOR INPUT'!#REF!</f>
        <v>#REF!</v>
      </c>
      <c r="E11" s="13">
        <f>'APPENDIX A FOR INPUT'!F11</f>
        <v>25000</v>
      </c>
    </row>
    <row r="12" spans="1:5">
      <c r="A12" s="12" t="s">
        <v>474</v>
      </c>
      <c r="B12" s="13">
        <f>B11</f>
        <v>25000</v>
      </c>
      <c r="C12" s="13" t="e">
        <f>C11</f>
        <v>#REF!</v>
      </c>
      <c r="D12" s="13" t="e">
        <f>D11</f>
        <v>#REF!</v>
      </c>
      <c r="E12" s="13">
        <f>E11</f>
        <v>25000</v>
      </c>
    </row>
    <row r="14" spans="1:5" hidden="1"/>
    <row r="15" spans="1:5" ht="15.75" hidden="1">
      <c r="A15" s="9" t="str">
        <f>'[1]town meeting'!A1</f>
        <v>DEPARTMENT NAME</v>
      </c>
      <c r="B15" s="9" t="str">
        <f>'[1]town meeting'!C1</f>
        <v>TOWN MEETING 1113</v>
      </c>
      <c r="C15" s="9"/>
      <c r="D15" s="9"/>
      <c r="E15" s="9"/>
    </row>
    <row r="16" spans="1:5" hidden="1"/>
    <row r="17" spans="1:5" hidden="1">
      <c r="B17" s="10" t="e">
        <f>'APPENDIX A FOR INPUT'!#REF!</f>
        <v>#REF!</v>
      </c>
      <c r="C17" s="11" t="e">
        <f>'APPENDIX A FOR INPUT'!#REF!</f>
        <v>#REF!</v>
      </c>
      <c r="D17" s="10"/>
    </row>
    <row r="18" spans="1:5" hidden="1">
      <c r="B18" s="10" t="s">
        <v>481</v>
      </c>
      <c r="C18" s="11" t="s">
        <v>482</v>
      </c>
      <c r="D18" s="10" t="s">
        <v>490</v>
      </c>
      <c r="E18" s="10" t="s">
        <v>92</v>
      </c>
    </row>
    <row r="19" spans="1:5" hidden="1">
      <c r="A19" t="str">
        <f>'[1]town meeting'!B5</f>
        <v>ACCOUNT NAME</v>
      </c>
      <c r="B19" s="10" t="s">
        <v>485</v>
      </c>
      <c r="C19" s="11" t="e">
        <f>'APPENDIX A FOR INPUT'!#REF!</f>
        <v>#REF!</v>
      </c>
      <c r="D19" s="10" t="e">
        <f>'APPENDIX A FOR INPUT'!#REF!</f>
        <v>#REF!</v>
      </c>
      <c r="E19" s="10" t="s">
        <v>486</v>
      </c>
    </row>
    <row r="20" spans="1:5" hidden="1">
      <c r="A20" s="12"/>
      <c r="B20" s="12"/>
      <c r="C20" s="12"/>
      <c r="D20" s="12"/>
      <c r="E20" s="12"/>
    </row>
    <row r="21" spans="1:5" hidden="1">
      <c r="A21" s="12" t="s">
        <v>489</v>
      </c>
      <c r="B21" s="13" t="e">
        <f>'APPENDIX A FOR INPUT'!#REF!</f>
        <v>#REF!</v>
      </c>
      <c r="C21" s="13" t="e">
        <f>'APPENDIX A FOR INPUT'!#REF!</f>
        <v>#REF!</v>
      </c>
      <c r="D21" s="13" t="e">
        <f>'APPENDIX A FOR INPUT'!#REF!</f>
        <v>#REF!</v>
      </c>
      <c r="E21" s="13" t="e">
        <f>'APPENDIX A FOR INPUT'!#REF!</f>
        <v>#REF!</v>
      </c>
    </row>
    <row r="22" spans="1:5" hidden="1">
      <c r="A22" s="12" t="s">
        <v>474</v>
      </c>
      <c r="B22" s="13" t="e">
        <f>B21</f>
        <v>#REF!</v>
      </c>
      <c r="C22" s="13" t="e">
        <f>C21</f>
        <v>#REF!</v>
      </c>
      <c r="D22" s="13" t="e">
        <f>D21</f>
        <v>#REF!</v>
      </c>
      <c r="E22" s="13" t="e">
        <f>E21</f>
        <v>#REF!</v>
      </c>
    </row>
    <row r="23" spans="1:5" hidden="1"/>
    <row r="25" spans="1:5" ht="15.75">
      <c r="A25" s="9" t="s">
        <v>487</v>
      </c>
      <c r="B25" s="9" t="str">
        <f>'APPENDIX A FOR INPUT'!C15</f>
        <v>MODERATOR</v>
      </c>
      <c r="C25" s="9"/>
      <c r="D25" s="9"/>
      <c r="E25" s="9"/>
    </row>
    <row r="26" spans="1:5">
      <c r="A26" t="s">
        <v>488</v>
      </c>
      <c r="B26" s="10"/>
      <c r="C26" s="11" t="e">
        <f>'APPENDIX A FOR INPUT'!#REF!</f>
        <v>#REF!</v>
      </c>
      <c r="D26" s="10"/>
      <c r="E26" s="10"/>
    </row>
    <row r="27" spans="1:5">
      <c r="A27" s="12"/>
      <c r="B27" s="13"/>
      <c r="C27" s="13"/>
      <c r="D27" s="13"/>
      <c r="E27" s="13"/>
    </row>
    <row r="28" spans="1:5">
      <c r="A28" s="12" t="s">
        <v>491</v>
      </c>
      <c r="B28" s="13">
        <f>'APPENDIX A FOR INPUT'!E16</f>
        <v>102</v>
      </c>
      <c r="C28" s="13" t="e">
        <f>'APPENDIX A FOR INPUT'!#REF!</f>
        <v>#REF!</v>
      </c>
      <c r="D28" s="13" t="e">
        <f>'APPENDIX A FOR INPUT'!#REF!</f>
        <v>#REF!</v>
      </c>
      <c r="E28" s="13">
        <f>'APPENDIX A FOR INPUT'!F16</f>
        <v>102</v>
      </c>
    </row>
    <row r="29" spans="1:5">
      <c r="A29" s="12" t="s">
        <v>489</v>
      </c>
      <c r="B29" s="13">
        <f>SUM('APPENDIX A FOR INPUT'!E17)</f>
        <v>0</v>
      </c>
      <c r="C29" s="13" t="e">
        <f>SUM('APPENDIX A FOR INPUT'!#REF!)</f>
        <v>#REF!</v>
      </c>
      <c r="D29" s="13" t="e">
        <f>'APPENDIX A FOR INPUT'!#REF!</f>
        <v>#REF!</v>
      </c>
      <c r="E29" s="13">
        <f>SUM('APPENDIX A FOR INPUT'!F17:F17)</f>
        <v>0</v>
      </c>
    </row>
    <row r="30" spans="1:5">
      <c r="A30" s="12" t="str">
        <f>[1]moderator!B11</f>
        <v>Total</v>
      </c>
      <c r="B30" s="13">
        <f>SUM(B28:B29)</f>
        <v>102</v>
      </c>
      <c r="C30" s="13" t="e">
        <f>SUM(C28:C29)</f>
        <v>#REF!</v>
      </c>
      <c r="D30" s="13" t="e">
        <f>SUM(D28:D29)</f>
        <v>#REF!</v>
      </c>
      <c r="E30" s="13">
        <f>SUM(E28:E29)</f>
        <v>102</v>
      </c>
    </row>
    <row r="33" spans="1:5" ht="15.75">
      <c r="A33" s="9" t="s">
        <v>487</v>
      </c>
      <c r="B33" s="9" t="str">
        <f>'APPENDIX A FOR INPUT'!C21</f>
        <v>SELECTMEN</v>
      </c>
      <c r="C33" s="9"/>
      <c r="D33" s="9"/>
      <c r="E33" s="9"/>
    </row>
    <row r="34" spans="1:5">
      <c r="A34" t="s">
        <v>488</v>
      </c>
      <c r="B34" s="10"/>
      <c r="C34" s="11" t="e">
        <f>'APPENDIX A FOR INPUT'!#REF!</f>
        <v>#REF!</v>
      </c>
      <c r="D34" s="10"/>
      <c r="E34" s="10"/>
    </row>
    <row r="35" spans="1:5">
      <c r="A35" s="12"/>
      <c r="B35" s="13"/>
      <c r="C35" s="13"/>
      <c r="D35" s="13"/>
      <c r="E35" s="13"/>
    </row>
    <row r="36" spans="1:5">
      <c r="A36" s="12" t="s">
        <v>492</v>
      </c>
      <c r="B36" s="13">
        <f>SUM('APPENDIX A FOR INPUT'!E22)</f>
        <v>12000</v>
      </c>
      <c r="C36" s="13" t="e">
        <f>SUM('APPENDIX A FOR INPUT'!#REF!)</f>
        <v>#REF!</v>
      </c>
      <c r="D36" s="13" t="e">
        <f>'APPENDIX A FOR INPUT'!#REF!</f>
        <v>#REF!</v>
      </c>
      <c r="E36" s="13">
        <f>SUM('APPENDIX A FOR INPUT'!F22)</f>
        <v>12000</v>
      </c>
    </row>
    <row r="37" spans="1:5">
      <c r="A37" s="12" t="s">
        <v>493</v>
      </c>
      <c r="B37" s="13">
        <f>SUM('APPENDIX A FOR INPUT'!E23:E25)</f>
        <v>110433.92</v>
      </c>
      <c r="C37" s="13" t="e">
        <f>SUM('APPENDIX A FOR INPUT'!#REF!)</f>
        <v>#REF!</v>
      </c>
      <c r="D37" s="13">
        <f>80000+26611.2</f>
        <v>106611.2</v>
      </c>
      <c r="E37" s="13">
        <f>SUM('APPENDIX A FOR INPUT'!F23:F25)</f>
        <v>88589</v>
      </c>
    </row>
    <row r="38" spans="1:5">
      <c r="A38" s="12" t="s">
        <v>489</v>
      </c>
      <c r="B38" s="13">
        <f>SUM('APPENDIX A FOR INPUT'!E26:E31)</f>
        <v>10600</v>
      </c>
      <c r="C38" s="13" t="e">
        <f>SUM('APPENDIX A FOR INPUT'!#REF!)</f>
        <v>#REF!</v>
      </c>
      <c r="D38" s="13">
        <f>12350</f>
        <v>12350</v>
      </c>
      <c r="E38" s="13">
        <f>SUM('APPENDIX A FOR INPUT'!F26:F31)</f>
        <v>12350</v>
      </c>
    </row>
    <row r="39" spans="1:5">
      <c r="A39" s="12" t="s">
        <v>474</v>
      </c>
      <c r="B39" s="13">
        <f>SUM(B36:B38)</f>
        <v>133033.91999999998</v>
      </c>
      <c r="C39" s="13" t="e">
        <f>SUM(C36:C38)</f>
        <v>#REF!</v>
      </c>
      <c r="D39" s="13" t="e">
        <f>SUM(D36:D38)</f>
        <v>#REF!</v>
      </c>
      <c r="E39" s="13">
        <f>SUM(E36:E38)</f>
        <v>112939</v>
      </c>
    </row>
    <row r="41" spans="1:5" ht="15.75">
      <c r="A41" s="9" t="s">
        <v>487</v>
      </c>
      <c r="B41" s="9" t="str">
        <f>'APPENDIX A FOR INPUT'!C35</f>
        <v>FINANCE COMMITTEE</v>
      </c>
      <c r="C41" s="9"/>
      <c r="D41" s="9"/>
      <c r="E41" s="9"/>
    </row>
    <row r="42" spans="1:5">
      <c r="A42" t="s">
        <v>488</v>
      </c>
      <c r="B42" s="10"/>
      <c r="C42" s="11" t="e">
        <f>'APPENDIX A FOR INPUT'!#REF!</f>
        <v>#REF!</v>
      </c>
      <c r="D42" s="10"/>
      <c r="E42" s="10"/>
    </row>
    <row r="43" spans="1:5">
      <c r="A43" s="12"/>
      <c r="B43" s="13"/>
      <c r="C43" s="13"/>
      <c r="D43" s="13"/>
      <c r="E43" s="13"/>
    </row>
    <row r="44" spans="1:5">
      <c r="A44" s="12" t="s">
        <v>489</v>
      </c>
      <c r="B44" s="13" t="e">
        <f>SUM('APPENDIX A FOR INPUT'!#REF!)</f>
        <v>#REF!</v>
      </c>
      <c r="C44" s="13" t="e">
        <f>SUM('APPENDIX A FOR INPUT'!#REF!)</f>
        <v>#REF!</v>
      </c>
      <c r="D44" s="13" t="e">
        <f>SUM('APPENDIX A FOR INPUT'!#REF!)</f>
        <v>#REF!</v>
      </c>
      <c r="E44" s="13">
        <f>SUM('APPENDIX A FOR INPUT'!F36:F39)</f>
        <v>1330</v>
      </c>
    </row>
    <row r="45" spans="1:5">
      <c r="A45" s="12" t="s">
        <v>474</v>
      </c>
      <c r="B45" s="13" t="e">
        <f>SUM(B44:B44)</f>
        <v>#REF!</v>
      </c>
      <c r="C45" s="13" t="e">
        <f>SUM(C44:C44)</f>
        <v>#REF!</v>
      </c>
      <c r="D45" s="13" t="e">
        <f>SUM(D44:D44)</f>
        <v>#REF!</v>
      </c>
      <c r="E45" s="13">
        <f>SUM(E44:E44)</f>
        <v>1330</v>
      </c>
    </row>
    <row r="46" spans="1:5" hidden="1"/>
    <row r="47" spans="1:5" hidden="1"/>
    <row r="50" spans="1:5" ht="15.75">
      <c r="A50" s="9" t="s">
        <v>487</v>
      </c>
      <c r="B50" s="9" t="str">
        <f>'APPENDIX A FOR INPUT'!C45</f>
        <v>TOWN ACCOUNTANT</v>
      </c>
      <c r="C50" s="9"/>
      <c r="D50" s="9"/>
      <c r="E50" s="9"/>
    </row>
    <row r="51" spans="1:5">
      <c r="A51" t="s">
        <v>488</v>
      </c>
      <c r="B51" s="10"/>
      <c r="C51" s="11" t="e">
        <f>'APPENDIX A FOR INPUT'!#REF!</f>
        <v>#REF!</v>
      </c>
      <c r="D51" s="10"/>
      <c r="E51" s="10"/>
    </row>
    <row r="52" spans="1:5">
      <c r="A52" s="12"/>
      <c r="B52" s="13"/>
      <c r="C52" s="13"/>
      <c r="D52" s="13"/>
      <c r="E52" s="13"/>
    </row>
    <row r="53" spans="1:5">
      <c r="A53" s="12" t="s">
        <v>493</v>
      </c>
      <c r="B53" s="13">
        <f>SUM('APPENDIX A FOR INPUT'!E46:E47)</f>
        <v>84500</v>
      </c>
      <c r="C53" s="13" t="e">
        <f>SUM('APPENDIX A FOR INPUT'!#REF!)</f>
        <v>#REF!</v>
      </c>
      <c r="D53" s="13">
        <f>61200+30072</f>
        <v>91272</v>
      </c>
      <c r="E53" s="13">
        <f>SUM('APPENDIX A FOR INPUT'!F46:F47)</f>
        <v>75368.125</v>
      </c>
    </row>
    <row r="54" spans="1:5">
      <c r="A54" s="12" t="s">
        <v>489</v>
      </c>
      <c r="B54" s="13">
        <f>SUM('APPENDIX A FOR INPUT'!E48:E54)</f>
        <v>36600</v>
      </c>
      <c r="C54" s="13" t="e">
        <f>SUM('APPENDIX A FOR INPUT'!#REF!)</f>
        <v>#REF!</v>
      </c>
      <c r="D54" s="13">
        <f>47600</f>
        <v>47600</v>
      </c>
      <c r="E54" s="13">
        <f>SUM('APPENDIX A FOR INPUT'!F48:F54)</f>
        <v>47600</v>
      </c>
    </row>
    <row r="55" spans="1:5">
      <c r="A55" s="12" t="s">
        <v>494</v>
      </c>
      <c r="B55" s="13" t="e">
        <f>'APPENDIX A FOR INPUT'!#REF!</f>
        <v>#REF!</v>
      </c>
      <c r="C55" s="13" t="e">
        <f>'APPENDIX A FOR INPUT'!#REF!</f>
        <v>#REF!</v>
      </c>
      <c r="D55" s="13">
        <v>0</v>
      </c>
      <c r="E55" s="13">
        <v>0</v>
      </c>
    </row>
    <row r="56" spans="1:5">
      <c r="A56" s="12" t="s">
        <v>474</v>
      </c>
      <c r="B56" s="13" t="e">
        <f>SUM(B53:B55)</f>
        <v>#REF!</v>
      </c>
      <c r="C56" s="13" t="e">
        <f>SUM(C53:C55)</f>
        <v>#REF!</v>
      </c>
      <c r="D56" s="13">
        <f>SUM(D53:D55)</f>
        <v>138872</v>
      </c>
      <c r="E56" s="13">
        <f>SUM(E53:E55)</f>
        <v>122968.125</v>
      </c>
    </row>
    <row r="59" spans="1:5" ht="15.75">
      <c r="A59" s="9" t="s">
        <v>487</v>
      </c>
      <c r="B59" s="9" t="str">
        <f>'APPENDIX A FOR INPUT'!C58</f>
        <v>ASSESSORS</v>
      </c>
      <c r="C59" s="9"/>
      <c r="D59" s="9"/>
      <c r="E59" s="9"/>
    </row>
    <row r="60" spans="1:5">
      <c r="A60" t="s">
        <v>488</v>
      </c>
      <c r="B60" s="10"/>
      <c r="C60" s="11" t="e">
        <f>'APPENDIX A FOR INPUT'!#REF!</f>
        <v>#REF!</v>
      </c>
      <c r="D60" s="10"/>
      <c r="E60" s="10"/>
    </row>
    <row r="61" spans="1:5">
      <c r="A61" s="12"/>
      <c r="B61" s="13"/>
      <c r="C61" s="13"/>
      <c r="D61" s="13"/>
      <c r="E61" s="13"/>
    </row>
    <row r="62" spans="1:5">
      <c r="A62" s="12" t="s">
        <v>492</v>
      </c>
      <c r="B62" s="13">
        <f>SUM('APPENDIX A FOR INPUT'!E59)</f>
        <v>12240</v>
      </c>
      <c r="C62" s="13" t="e">
        <f>SUM('APPENDIX A FOR INPUT'!#REF!)</f>
        <v>#REF!</v>
      </c>
      <c r="D62" s="13">
        <f>12546</f>
        <v>12546</v>
      </c>
      <c r="E62" s="13">
        <f>SUM('APPENDIX A FOR INPUT'!F59)</f>
        <v>12546</v>
      </c>
    </row>
    <row r="63" spans="1:5">
      <c r="A63" s="12" t="s">
        <v>493</v>
      </c>
      <c r="B63" s="13">
        <f>SUM('APPENDIX A FOR INPUT'!E60:E62)</f>
        <v>46353</v>
      </c>
      <c r="C63" s="13" t="e">
        <f>SUM('APPENDIX A FOR INPUT'!#REF!)</f>
        <v>#REF!</v>
      </c>
      <c r="D63" s="13">
        <v>58608</v>
      </c>
      <c r="E63" s="13">
        <f>SUM('APPENDIX A FOR INPUT'!F60:F62)</f>
        <v>76736.25</v>
      </c>
    </row>
    <row r="64" spans="1:5">
      <c r="A64" s="12" t="s">
        <v>489</v>
      </c>
      <c r="B64" s="13">
        <f>SUM('APPENDIX A FOR INPUT'!E63:E73)</f>
        <v>51315</v>
      </c>
      <c r="C64" s="13" t="e">
        <f>SUM('APPENDIX A FOR INPUT'!#REF!)</f>
        <v>#REF!</v>
      </c>
      <c r="D64" s="13">
        <f>39180</f>
        <v>39180</v>
      </c>
      <c r="E64" s="13">
        <f>SUM('APPENDIX A FOR INPUT'!F63:F70)</f>
        <v>44015</v>
      </c>
    </row>
    <row r="65" spans="1:5">
      <c r="A65" s="12" t="s">
        <v>494</v>
      </c>
      <c r="B65" s="14" t="e">
        <f>'APPENDIX A FOR INPUT'!#REF!</f>
        <v>#REF!</v>
      </c>
      <c r="C65" s="14" t="e">
        <f>'APPENDIX A FOR INPUT'!#REF!</f>
        <v>#REF!</v>
      </c>
      <c r="D65" s="14" t="e">
        <f>'APPENDIX A FOR INPUT'!#REF!</f>
        <v>#REF!</v>
      </c>
      <c r="E65" s="14">
        <f>'APPENDIX A FOR INPUT'!F72</f>
        <v>0</v>
      </c>
    </row>
    <row r="66" spans="1:5">
      <c r="A66" s="12" t="s">
        <v>474</v>
      </c>
      <c r="B66" s="13" t="e">
        <f>SUM(B62:B65)</f>
        <v>#REF!</v>
      </c>
      <c r="C66" s="13" t="e">
        <f>SUM(C62:C65)</f>
        <v>#REF!</v>
      </c>
      <c r="D66" s="13" t="e">
        <f>SUM(D62:D65)</f>
        <v>#REF!</v>
      </c>
      <c r="E66" s="13">
        <f>SUM(E62:E65)</f>
        <v>133297.25</v>
      </c>
    </row>
    <row r="69" spans="1:5" ht="15.75">
      <c r="A69" s="9" t="s">
        <v>487</v>
      </c>
      <c r="B69" s="9" t="str">
        <f>'APPENDIX A FOR INPUT'!C78</f>
        <v>TOWN TREASURER</v>
      </c>
      <c r="C69" s="9"/>
      <c r="D69" s="9"/>
      <c r="E69" s="9"/>
    </row>
    <row r="70" spans="1:5">
      <c r="A70" t="s">
        <v>488</v>
      </c>
      <c r="B70" s="10"/>
      <c r="C70" s="11" t="e">
        <f>'APPENDIX A FOR INPUT'!#REF!</f>
        <v>#REF!</v>
      </c>
      <c r="D70" s="10"/>
      <c r="E70" s="10"/>
    </row>
    <row r="71" spans="1:5">
      <c r="A71" s="12"/>
      <c r="B71" s="13"/>
      <c r="C71" s="13"/>
      <c r="D71" s="13"/>
      <c r="E71" s="13"/>
    </row>
    <row r="72" spans="1:5">
      <c r="A72" s="12" t="s">
        <v>492</v>
      </c>
      <c r="B72" s="13">
        <f>SUM('APPENDIX A FOR INPUT'!E79)</f>
        <v>35198</v>
      </c>
      <c r="C72" s="13" t="e">
        <f>SUM('APPENDIX A FOR INPUT'!#REF!)</f>
        <v>#REF!</v>
      </c>
      <c r="D72" s="13">
        <v>5866</v>
      </c>
      <c r="E72" s="13">
        <f>SUM('APPENDIX A FOR INPUT'!F79)</f>
        <v>5866.33</v>
      </c>
    </row>
    <row r="73" spans="1:5">
      <c r="A73" s="12" t="s">
        <v>493</v>
      </c>
      <c r="B73" s="13">
        <f>SUM('APPENDIX A FOR INPUT'!E80:E82)</f>
        <v>50341.599999999999</v>
      </c>
      <c r="C73" s="13" t="e">
        <f>SUM('APPENDIX A FOR INPUT'!#REF!)</f>
        <v>#REF!</v>
      </c>
      <c r="D73" s="13">
        <f>114096</f>
        <v>114096</v>
      </c>
      <c r="E73" s="13">
        <f>SUM('APPENDIX A FOR INPUT'!F80:F82)</f>
        <v>114096.25</v>
      </c>
    </row>
    <row r="74" spans="1:5">
      <c r="A74" s="12" t="s">
        <v>489</v>
      </c>
      <c r="B74" s="13">
        <f>SUM('APPENDIX A FOR INPUT'!E82:E88)</f>
        <v>20200</v>
      </c>
      <c r="C74" s="13" t="e">
        <f>SUM('APPENDIX A FOR INPUT'!#REF!)</f>
        <v>#REF!</v>
      </c>
      <c r="D74" s="13">
        <v>20200</v>
      </c>
      <c r="E74" s="13">
        <f>SUM('APPENDIX A FOR INPUT'!F83:F88)</f>
        <v>20200</v>
      </c>
    </row>
    <row r="75" spans="1:5">
      <c r="A75" s="12" t="s">
        <v>494</v>
      </c>
      <c r="B75" s="13" t="e">
        <f>'APPENDIX A FOR INPUT'!#REF!</f>
        <v>#REF!</v>
      </c>
      <c r="C75" s="13" t="e">
        <f>'APPENDIX A FOR INPUT'!#REF!</f>
        <v>#REF!</v>
      </c>
      <c r="D75" s="13" t="e">
        <f>'APPENDIX A FOR INPUT'!#REF!</f>
        <v>#REF!</v>
      </c>
      <c r="E75" s="13">
        <f>'APPENDIX A FOR INPUT'!F87</f>
        <v>0</v>
      </c>
    </row>
    <row r="76" spans="1:5">
      <c r="A76" s="12" t="s">
        <v>474</v>
      </c>
      <c r="B76" s="13" t="e">
        <f>SUM(B72:B75)</f>
        <v>#REF!</v>
      </c>
      <c r="C76" s="13" t="e">
        <f>SUM(C72:C75)</f>
        <v>#REF!</v>
      </c>
      <c r="D76" s="13" t="e">
        <f>SUM(D72:D75)</f>
        <v>#REF!</v>
      </c>
      <c r="E76" s="13">
        <f>SUM(E72:E75)</f>
        <v>140162.58000000002</v>
      </c>
    </row>
    <row r="79" spans="1:5" ht="15.75">
      <c r="A79" s="9" t="s">
        <v>487</v>
      </c>
      <c r="B79" s="9" t="str">
        <f>'APPENDIX A FOR INPUT'!C91</f>
        <v>TOWN COLLECTOR</v>
      </c>
      <c r="C79" s="15"/>
      <c r="D79" s="15"/>
      <c r="E79" s="15"/>
    </row>
    <row r="80" spans="1:5">
      <c r="A80" t="s">
        <v>488</v>
      </c>
      <c r="B80" s="10"/>
      <c r="C80" s="11" t="e">
        <f>'APPENDIX A FOR INPUT'!#REF!</f>
        <v>#REF!</v>
      </c>
      <c r="D80" s="10"/>
      <c r="E80" s="10"/>
    </row>
    <row r="81" spans="1:5">
      <c r="A81" s="12"/>
      <c r="B81" s="13"/>
      <c r="C81" s="13"/>
      <c r="D81" s="13"/>
      <c r="E81" s="13"/>
    </row>
    <row r="82" spans="1:5">
      <c r="A82" s="12" t="s">
        <v>493</v>
      </c>
      <c r="B82" s="13">
        <f>SUM('APPENDIX A FOR INPUT'!E92)</f>
        <v>35198</v>
      </c>
      <c r="C82" s="13" t="e">
        <f>SUM('APPENDIX A FOR INPUT'!#REF!)</f>
        <v>#REF!</v>
      </c>
      <c r="D82" s="13">
        <v>1</v>
      </c>
      <c r="E82" s="13">
        <f>SUM('APPENDIX A FOR INPUT'!F92)</f>
        <v>1</v>
      </c>
    </row>
    <row r="83" spans="1:5">
      <c r="A83" s="12" t="s">
        <v>493</v>
      </c>
      <c r="B83" s="13">
        <f>SUM('APPENDIX A FOR INPUT'!E93:E94)</f>
        <v>26500</v>
      </c>
      <c r="C83" s="13" t="e">
        <f>SUM('APPENDIX A FOR INPUT'!#REF!)</f>
        <v>#REF!</v>
      </c>
      <c r="D83" s="13">
        <v>35456</v>
      </c>
      <c r="E83" s="13">
        <f>SUM('APPENDIX A FOR INPUT'!F93:F94)</f>
        <v>35456.400000000001</v>
      </c>
    </row>
    <row r="84" spans="1:5">
      <c r="A84" s="12" t="s">
        <v>489</v>
      </c>
      <c r="B84" s="13">
        <f>SUM('APPENDIX A FOR INPUT'!E95:E98)</f>
        <v>16500</v>
      </c>
      <c r="C84" s="13" t="e">
        <f>SUM('APPENDIX A FOR INPUT'!#REF!)</f>
        <v>#REF!</v>
      </c>
      <c r="D84" s="13">
        <f>16500</f>
        <v>16500</v>
      </c>
      <c r="E84" s="13">
        <f>SUM('APPENDIX A FOR INPUT'!F94:F99)</f>
        <v>16500</v>
      </c>
    </row>
    <row r="85" spans="1:5">
      <c r="A85" s="12" t="s">
        <v>494</v>
      </c>
      <c r="B85" s="13">
        <f>'APPENDIX A FOR INPUT'!E98</f>
        <v>1000</v>
      </c>
      <c r="C85" s="13" t="e">
        <f>'APPENDIX A FOR INPUT'!#REF!</f>
        <v>#REF!</v>
      </c>
      <c r="D85" s="13" t="e">
        <f>'APPENDIX A FOR INPUT'!#REF!</f>
        <v>#REF!</v>
      </c>
      <c r="E85" s="13">
        <f>'APPENDIX A FOR INPUT'!F98</f>
        <v>0</v>
      </c>
    </row>
    <row r="86" spans="1:5">
      <c r="A86" s="12" t="s">
        <v>474</v>
      </c>
      <c r="B86" s="13">
        <f>SUM(B82:B85)</f>
        <v>79198</v>
      </c>
      <c r="C86" s="13" t="e">
        <f>SUM(C82:C85)</f>
        <v>#REF!</v>
      </c>
      <c r="D86" s="13" t="e">
        <f>SUM(D82:D85)</f>
        <v>#REF!</v>
      </c>
      <c r="E86" s="13">
        <f>SUM(E82:E85)</f>
        <v>51957.4</v>
      </c>
    </row>
    <row r="89" spans="1:5" ht="15.75">
      <c r="A89" s="9" t="s">
        <v>487</v>
      </c>
      <c r="B89" s="9" t="str">
        <f>'APPENDIX A FOR INPUT'!C102</f>
        <v>TOWN COUNSEL</v>
      </c>
      <c r="C89" s="9"/>
      <c r="D89" s="9"/>
      <c r="E89" s="9"/>
    </row>
    <row r="90" spans="1:5">
      <c r="A90" t="s">
        <v>488</v>
      </c>
      <c r="B90" s="10"/>
      <c r="C90" s="11" t="e">
        <f>'APPENDIX A FOR INPUT'!#REF!</f>
        <v>#REF!</v>
      </c>
      <c r="D90" s="10"/>
      <c r="E90" s="10"/>
    </row>
    <row r="91" spans="1:5">
      <c r="A91" s="12"/>
      <c r="B91" s="13"/>
      <c r="C91" s="13"/>
      <c r="D91" s="13"/>
      <c r="E91" s="13"/>
    </row>
    <row r="92" spans="1:5">
      <c r="A92" s="12" t="s">
        <v>489</v>
      </c>
      <c r="B92" s="13">
        <f>SUM('APPENDIX A FOR INPUT'!E103:E104)</f>
        <v>55000</v>
      </c>
      <c r="C92" s="13" t="e">
        <f>SUM('APPENDIX A FOR INPUT'!#REF!)</f>
        <v>#REF!</v>
      </c>
      <c r="D92" s="13" t="e">
        <f>SUM('APPENDIX A FOR INPUT'!#REF!)</f>
        <v>#REF!</v>
      </c>
      <c r="E92" s="13">
        <f>SUM('APPENDIX A FOR INPUT'!F103:F104)</f>
        <v>65000</v>
      </c>
    </row>
    <row r="93" spans="1:5">
      <c r="A93" s="12" t="s">
        <v>474</v>
      </c>
      <c r="B93" s="13">
        <f>B92</f>
        <v>55000</v>
      </c>
      <c r="C93" s="13" t="e">
        <f>C92</f>
        <v>#REF!</v>
      </c>
      <c r="D93" s="13" t="e">
        <f>D92</f>
        <v>#REF!</v>
      </c>
      <c r="E93" s="13">
        <f>E92</f>
        <v>65000</v>
      </c>
    </row>
    <row r="94" spans="1:5">
      <c r="B94" s="16"/>
      <c r="C94" s="16"/>
      <c r="D94" s="16"/>
      <c r="E94" s="16"/>
    </row>
    <row r="96" spans="1:5" ht="15.75">
      <c r="A96" s="9" t="s">
        <v>487</v>
      </c>
      <c r="B96" s="9" t="str">
        <f>'APPENDIX A FOR INPUT'!C108</f>
        <v>DATA PROCESSING</v>
      </c>
      <c r="C96" s="9"/>
      <c r="D96" s="9"/>
      <c r="E96" s="9"/>
    </row>
    <row r="97" spans="1:5">
      <c r="A97" t="s">
        <v>488</v>
      </c>
      <c r="B97" s="10"/>
      <c r="C97" s="11" t="e">
        <f>'APPENDIX A FOR INPUT'!#REF!</f>
        <v>#REF!</v>
      </c>
      <c r="D97" s="10"/>
      <c r="E97" s="10"/>
    </row>
    <row r="98" spans="1:5">
      <c r="A98" s="12"/>
      <c r="B98" s="13"/>
      <c r="C98" s="13"/>
      <c r="D98" s="13"/>
      <c r="E98" s="13"/>
    </row>
    <row r="99" spans="1:5">
      <c r="A99" s="12" t="s">
        <v>493</v>
      </c>
      <c r="B99" s="13" t="e">
        <f>'APPENDIX A FOR INPUT'!#REF!</f>
        <v>#REF!</v>
      </c>
      <c r="C99" s="13" t="e">
        <f>'APPENDIX A FOR INPUT'!#REF!</f>
        <v>#REF!</v>
      </c>
      <c r="D99" s="13" t="e">
        <f>'APPENDIX A FOR INPUT'!#REF!</f>
        <v>#REF!</v>
      </c>
      <c r="E99" s="13">
        <f>'APPENDIX A FOR INPUT'!F109</f>
        <v>0</v>
      </c>
    </row>
    <row r="100" spans="1:5">
      <c r="A100" s="12" t="s">
        <v>489</v>
      </c>
      <c r="B100" s="13">
        <f>SUM('APPENDIX A FOR INPUT'!E110:E118)</f>
        <v>90618</v>
      </c>
      <c r="C100" s="13" t="e">
        <f>SUM('APPENDIX A FOR INPUT'!#REF!)</f>
        <v>#REF!</v>
      </c>
      <c r="D100" s="13">
        <v>96794</v>
      </c>
      <c r="E100" s="13">
        <f>SUM('APPENDIX A FOR INPUT'!F110:F118)</f>
        <v>98618</v>
      </c>
    </row>
    <row r="101" spans="1:5">
      <c r="A101" s="12" t="s">
        <v>494</v>
      </c>
      <c r="B101" s="13">
        <f>SUM('APPENDIX A FOR INPUT'!E119:E120)</f>
        <v>8000</v>
      </c>
      <c r="C101" s="13" t="e">
        <f>'APPENDIX A FOR INPUT'!#REF!</f>
        <v>#REF!</v>
      </c>
      <c r="D101" s="13">
        <v>8000</v>
      </c>
      <c r="E101" s="13">
        <f>SUM('APPENDIX A FOR INPUT'!F119:F120)</f>
        <v>3000</v>
      </c>
    </row>
    <row r="102" spans="1:5">
      <c r="A102" s="12" t="s">
        <v>474</v>
      </c>
      <c r="B102" s="13" t="e">
        <f>SUM(B99:B101)</f>
        <v>#REF!</v>
      </c>
      <c r="C102" s="13" t="e">
        <f>SUM(C99:C101)</f>
        <v>#REF!</v>
      </c>
      <c r="D102" s="13" t="e">
        <f>SUM(D99:D101)</f>
        <v>#REF!</v>
      </c>
      <c r="E102" s="13">
        <f>SUM(E99:E101)</f>
        <v>101618</v>
      </c>
    </row>
    <row r="105" spans="1:5" ht="15.75">
      <c r="A105" s="9" t="s">
        <v>487</v>
      </c>
      <c r="B105" s="9" t="str">
        <f>'APPENDIX A FOR INPUT'!C123</f>
        <v>TOWN CLERK</v>
      </c>
      <c r="C105" s="9"/>
      <c r="D105" s="9"/>
      <c r="E105" s="9"/>
    </row>
    <row r="106" spans="1:5">
      <c r="A106" t="s">
        <v>488</v>
      </c>
      <c r="B106" s="10"/>
      <c r="C106" s="11" t="e">
        <f>'APPENDIX A FOR INPUT'!#REF!</f>
        <v>#REF!</v>
      </c>
      <c r="D106" s="10"/>
      <c r="E106" s="10"/>
    </row>
    <row r="107" spans="1:5">
      <c r="A107" s="13"/>
      <c r="B107" s="13"/>
      <c r="C107" s="13"/>
      <c r="D107" s="13"/>
      <c r="E107" s="13"/>
    </row>
    <row r="108" spans="1:5">
      <c r="A108" s="12" t="s">
        <v>492</v>
      </c>
      <c r="B108" s="13">
        <f>SUM('APPENDIX A FOR INPUT'!E124)</f>
        <v>35198</v>
      </c>
      <c r="C108" s="13" t="e">
        <f>SUM('APPENDIX A FOR INPUT'!#REF!)</f>
        <v>#REF!</v>
      </c>
      <c r="D108" s="13">
        <v>50000</v>
      </c>
      <c r="E108" s="13">
        <f>SUM('APPENDIX A FOR INPUT'!F124)</f>
        <v>40000</v>
      </c>
    </row>
    <row r="109" spans="1:5">
      <c r="A109" s="12" t="s">
        <v>493</v>
      </c>
      <c r="B109" s="13">
        <f>SUM('APPENDIX A FOR INPUT'!E125)</f>
        <v>27100</v>
      </c>
      <c r="C109" s="13" t="e">
        <f>SUM('APPENDIX A FOR INPUT'!#REF!)</f>
        <v>#REF!</v>
      </c>
      <c r="D109" s="13">
        <v>31000</v>
      </c>
      <c r="E109" s="13">
        <f>SUM('APPENDIX A FOR INPUT'!F125:F126)</f>
        <v>31306.9</v>
      </c>
    </row>
    <row r="110" spans="1:5">
      <c r="A110" s="12" t="s">
        <v>489</v>
      </c>
      <c r="B110" s="13">
        <f>SUM('APPENDIX A FOR INPUT'!E126:E132)</f>
        <v>8250</v>
      </c>
      <c r="C110" s="13" t="e">
        <f>SUM('APPENDIX A FOR INPUT'!#REF!)</f>
        <v>#REF!</v>
      </c>
      <c r="D110" s="13">
        <v>9750</v>
      </c>
      <c r="E110" s="13">
        <f>SUM('APPENDIX A FOR INPUT'!F127:F132)</f>
        <v>8000</v>
      </c>
    </row>
    <row r="111" spans="1:5">
      <c r="A111" s="12" t="s">
        <v>494</v>
      </c>
      <c r="B111" s="13">
        <v>0</v>
      </c>
      <c r="C111" s="13" t="e">
        <f>'APPENDIX A FOR INPUT'!#REF!</f>
        <v>#REF!</v>
      </c>
      <c r="D111" s="13" t="e">
        <f>'APPENDIX A FOR INPUT'!#REF!</f>
        <v>#REF!</v>
      </c>
      <c r="E111" s="13">
        <f>'APPENDIX A FOR INPUT'!F133</f>
        <v>0</v>
      </c>
    </row>
    <row r="112" spans="1:5">
      <c r="A112" s="12" t="s">
        <v>474</v>
      </c>
      <c r="B112" s="13">
        <f>SUM(B108:B111)</f>
        <v>70548</v>
      </c>
      <c r="C112" s="13" t="e">
        <f>SUM(C108:C111)</f>
        <v>#REF!</v>
      </c>
      <c r="D112" s="13" t="e">
        <f>SUM(D108:D111)</f>
        <v>#REF!</v>
      </c>
      <c r="E112" s="13">
        <f>SUM(E108:E111)</f>
        <v>79306.899999999994</v>
      </c>
    </row>
    <row r="115" spans="1:5" ht="15.75">
      <c r="A115" s="9" t="s">
        <v>487</v>
      </c>
      <c r="B115" s="9" t="str">
        <f>'APPENDIX A FOR INPUT'!C138</f>
        <v>ELECTIONS &amp; REGISTRATIONS</v>
      </c>
      <c r="C115" s="9"/>
      <c r="D115" s="9"/>
      <c r="E115" s="9"/>
    </row>
    <row r="116" spans="1:5">
      <c r="A116" t="s">
        <v>488</v>
      </c>
      <c r="B116" s="10"/>
      <c r="C116" s="11" t="e">
        <f>'APPENDIX A FOR INPUT'!#REF!</f>
        <v>#REF!</v>
      </c>
      <c r="D116" s="10"/>
      <c r="E116" s="10"/>
    </row>
    <row r="117" spans="1:5">
      <c r="A117" s="12"/>
      <c r="B117" s="13"/>
      <c r="C117" s="13"/>
      <c r="D117" s="13"/>
      <c r="E117" s="13"/>
    </row>
    <row r="118" spans="1:5">
      <c r="A118" s="12" t="s">
        <v>493</v>
      </c>
      <c r="B118" s="13">
        <f>'APPENDIX A FOR INPUT'!E139</f>
        <v>7500</v>
      </c>
      <c r="C118" s="13" t="e">
        <f>'APPENDIX A FOR INPUT'!#REF!</f>
        <v>#REF!</v>
      </c>
      <c r="D118" s="13">
        <f>11500+2000</f>
        <v>13500</v>
      </c>
      <c r="E118" s="13">
        <f>'APPENDIX A FOR INPUT'!F139</f>
        <v>11500</v>
      </c>
    </row>
    <row r="119" spans="1:5">
      <c r="A119" s="12" t="s">
        <v>489</v>
      </c>
      <c r="B119" s="13">
        <f>SUM('APPENDIX A FOR INPUT'!E140:E146)</f>
        <v>9600</v>
      </c>
      <c r="C119" s="13" t="e">
        <f>SUM('APPENDIX A FOR INPUT'!#REF!)</f>
        <v>#REF!</v>
      </c>
      <c r="D119" s="13">
        <f>15700</f>
        <v>15700</v>
      </c>
      <c r="E119" s="13">
        <f>SUM('APPENDIX A FOR INPUT'!F140:F146)</f>
        <v>14700</v>
      </c>
    </row>
    <row r="120" spans="1:5">
      <c r="A120" s="12" t="s">
        <v>494</v>
      </c>
      <c r="B120" s="13">
        <f>SUM('APPENDIX A FOR INPUT'!E146:E148)</f>
        <v>0</v>
      </c>
      <c r="C120" s="13" t="e">
        <f>'APPENDIX A FOR INPUT'!#REF!</f>
        <v>#REF!</v>
      </c>
      <c r="D120" s="13">
        <v>0</v>
      </c>
      <c r="E120" s="13">
        <f>'APPENDIX A FOR INPUT'!F147</f>
        <v>10000</v>
      </c>
    </row>
    <row r="121" spans="1:5">
      <c r="A121" s="12" t="s">
        <v>474</v>
      </c>
      <c r="B121" s="13">
        <f>SUM(B118:B119)</f>
        <v>17100</v>
      </c>
      <c r="C121" s="13" t="e">
        <f>SUM(C118:C119)</f>
        <v>#REF!</v>
      </c>
      <c r="D121" s="13">
        <f>SUM(D118:D119)</f>
        <v>29200</v>
      </c>
      <c r="E121" s="13">
        <f>SUM(E118:E120)</f>
        <v>36200</v>
      </c>
    </row>
    <row r="123" spans="1:5" hidden="1"/>
    <row r="124" spans="1:5" ht="15.75" hidden="1">
      <c r="A124" s="9" t="str">
        <f>'[1]soil board'!A1</f>
        <v>DEPARTMENT NAME</v>
      </c>
      <c r="B124" s="9" t="str">
        <f>'[1]soil board'!C1</f>
        <v>SOIL BOARD 1172</v>
      </c>
      <c r="C124" s="9"/>
      <c r="D124" s="9"/>
      <c r="E124" s="9"/>
    </row>
    <row r="125" spans="1:5" hidden="1"/>
    <row r="126" spans="1:5" hidden="1">
      <c r="B126" s="10" t="e">
        <f>'APPENDIX A FOR INPUT'!#REF!</f>
        <v>#REF!</v>
      </c>
      <c r="C126" s="10" t="e">
        <f>'APPENDIX A FOR INPUT'!#REF!</f>
        <v>#REF!</v>
      </c>
      <c r="D126" s="10" t="e">
        <f>'APPENDIX A FOR INPUT'!#REF!</f>
        <v>#REF!</v>
      </c>
      <c r="E126" s="10" t="e">
        <f>'APPENDIX A FOR INPUT'!#REF!</f>
        <v>#REF!</v>
      </c>
    </row>
    <row r="127" spans="1:5" hidden="1">
      <c r="B127" s="10" t="s">
        <v>481</v>
      </c>
      <c r="C127" s="10" t="s">
        <v>481</v>
      </c>
      <c r="D127" s="10" t="s">
        <v>481</v>
      </c>
      <c r="E127" s="10" t="s">
        <v>481</v>
      </c>
    </row>
    <row r="128" spans="1:5" hidden="1">
      <c r="A128" t="str">
        <f>'[1]soil board'!B5</f>
        <v>ACCOUNT NAME</v>
      </c>
      <c r="B128" s="10" t="s">
        <v>495</v>
      </c>
      <c r="C128" s="10" t="s">
        <v>495</v>
      </c>
      <c r="D128" s="10" t="s">
        <v>495</v>
      </c>
      <c r="E128" s="10" t="s">
        <v>485</v>
      </c>
    </row>
    <row r="129" spans="1:5" hidden="1">
      <c r="A129" s="12"/>
      <c r="B129" s="12"/>
      <c r="C129" s="12"/>
      <c r="D129" s="12"/>
      <c r="E129" s="13"/>
    </row>
    <row r="130" spans="1:5" hidden="1">
      <c r="A130" s="12" t="s">
        <v>493</v>
      </c>
      <c r="B130" s="13" t="e">
        <f>SUM('APPENDIX A FOR INPUT'!#REF!)</f>
        <v>#REF!</v>
      </c>
      <c r="C130" s="13" t="e">
        <f>SUM('APPENDIX A FOR INPUT'!#REF!)</f>
        <v>#REF!</v>
      </c>
      <c r="D130" s="13" t="e">
        <f>SUM('APPENDIX A FOR INPUT'!#REF!)</f>
        <v>#REF!</v>
      </c>
      <c r="E130" s="13" t="e">
        <f>SUM('APPENDIX A FOR INPUT'!#REF!)</f>
        <v>#REF!</v>
      </c>
    </row>
    <row r="131" spans="1:5" hidden="1">
      <c r="A131" s="12" t="s">
        <v>489</v>
      </c>
      <c r="B131" s="13" t="e">
        <f>SUM('APPENDIX A FOR INPUT'!#REF!)</f>
        <v>#REF!</v>
      </c>
      <c r="C131" s="13" t="e">
        <f>SUM('APPENDIX A FOR INPUT'!#REF!)</f>
        <v>#REF!</v>
      </c>
      <c r="D131" s="13" t="e">
        <f>SUM('APPENDIX A FOR INPUT'!#REF!)</f>
        <v>#REF!</v>
      </c>
      <c r="E131" s="13" t="e">
        <f>SUM('APPENDIX A FOR INPUT'!#REF!)</f>
        <v>#REF!</v>
      </c>
    </row>
    <row r="132" spans="1:5" hidden="1">
      <c r="A132" s="12" t="s">
        <v>494</v>
      </c>
      <c r="B132" s="13" t="e">
        <f>'APPENDIX A FOR INPUT'!#REF!</f>
        <v>#REF!</v>
      </c>
      <c r="C132" s="13" t="e">
        <f>'APPENDIX A FOR INPUT'!#REF!</f>
        <v>#REF!</v>
      </c>
      <c r="D132" s="13" t="e">
        <f>'APPENDIX A FOR INPUT'!#REF!</f>
        <v>#REF!</v>
      </c>
      <c r="E132" s="13" t="e">
        <f>'APPENDIX A FOR INPUT'!#REF!</f>
        <v>#REF!</v>
      </c>
    </row>
    <row r="133" spans="1:5" hidden="1">
      <c r="A133" s="12" t="s">
        <v>474</v>
      </c>
      <c r="B133" s="13" t="e">
        <f>SUM(B130:B132)</f>
        <v>#REF!</v>
      </c>
      <c r="C133" s="13" t="e">
        <f>SUM(C130:C132)</f>
        <v>#REF!</v>
      </c>
      <c r="D133" s="13" t="e">
        <f>SUM(D130:D132)</f>
        <v>#REF!</v>
      </c>
      <c r="E133" s="13" t="e">
        <f>SUM(E130:E132)</f>
        <v>#REF!</v>
      </c>
    </row>
    <row r="134" spans="1:5" hidden="1"/>
    <row r="135" spans="1:5" hidden="1"/>
    <row r="136" spans="1:5" ht="15.75" hidden="1">
      <c r="A136" s="9" t="str">
        <f>'[1]planning board'!A1</f>
        <v>DEPARTMENT NAME</v>
      </c>
      <c r="B136" s="9" t="str">
        <f>'[1]planning board'!C1</f>
        <v>PLANNING BOARD 1175</v>
      </c>
      <c r="C136" s="9"/>
      <c r="D136" s="9"/>
      <c r="E136" s="9"/>
    </row>
    <row r="137" spans="1:5" hidden="1"/>
    <row r="138" spans="1:5" hidden="1">
      <c r="B138" s="10" t="e">
        <f>'APPENDIX A FOR INPUT'!#REF!</f>
        <v>#REF!</v>
      </c>
      <c r="C138" s="10" t="e">
        <f>'APPENDIX A FOR INPUT'!#REF!</f>
        <v>#REF!</v>
      </c>
      <c r="D138" s="10" t="e">
        <f>'APPENDIX A FOR INPUT'!#REF!</f>
        <v>#REF!</v>
      </c>
      <c r="E138" s="10" t="e">
        <f>'APPENDIX A FOR INPUT'!#REF!</f>
        <v>#REF!</v>
      </c>
    </row>
    <row r="139" spans="1:5" hidden="1">
      <c r="B139" s="10" t="s">
        <v>481</v>
      </c>
      <c r="C139" s="10" t="s">
        <v>481</v>
      </c>
      <c r="D139" s="10" t="s">
        <v>481</v>
      </c>
      <c r="E139" s="10" t="s">
        <v>481</v>
      </c>
    </row>
    <row r="140" spans="1:5" hidden="1">
      <c r="A140" t="str">
        <f>'[1]planning board'!B5</f>
        <v>ACCOUNT NAME</v>
      </c>
      <c r="B140" s="10" t="s">
        <v>495</v>
      </c>
      <c r="C140" s="10" t="s">
        <v>495</v>
      </c>
      <c r="D140" s="10" t="s">
        <v>495</v>
      </c>
      <c r="E140" s="10" t="s">
        <v>485</v>
      </c>
    </row>
    <row r="141" spans="1:5" hidden="1">
      <c r="A141" s="12"/>
      <c r="B141" s="12"/>
      <c r="C141" s="12"/>
      <c r="D141" s="12"/>
      <c r="E141" s="13"/>
    </row>
    <row r="142" spans="1:5" hidden="1">
      <c r="A142" s="12" t="s">
        <v>493</v>
      </c>
      <c r="B142" s="13" t="e">
        <f>SUM('APPENDIX A FOR INPUT'!#REF!)</f>
        <v>#REF!</v>
      </c>
      <c r="C142" s="13" t="e">
        <f>SUM('APPENDIX A FOR INPUT'!#REF!)</f>
        <v>#REF!</v>
      </c>
      <c r="D142" s="13" t="e">
        <f>SUM('APPENDIX A FOR INPUT'!#REF!)</f>
        <v>#REF!</v>
      </c>
      <c r="E142" s="13" t="e">
        <f>SUM('APPENDIX A FOR INPUT'!#REF!)</f>
        <v>#REF!</v>
      </c>
    </row>
    <row r="143" spans="1:5" hidden="1">
      <c r="A143" s="12" t="s">
        <v>489</v>
      </c>
      <c r="B143" s="13" t="e">
        <f>'APPENDIX A FOR INPUT'!#REF!</f>
        <v>#REF!</v>
      </c>
      <c r="C143" s="13" t="e">
        <f>'APPENDIX A FOR INPUT'!#REF!</f>
        <v>#REF!</v>
      </c>
      <c r="D143" s="13" t="e">
        <f>'APPENDIX A FOR INPUT'!#REF!</f>
        <v>#REF!</v>
      </c>
      <c r="E143" s="13" t="e">
        <f>'APPENDIX A FOR INPUT'!#REF!</f>
        <v>#REF!</v>
      </c>
    </row>
    <row r="144" spans="1:5" hidden="1">
      <c r="A144" s="12" t="s">
        <v>474</v>
      </c>
      <c r="B144" s="13" t="e">
        <f>SUM(B142:B143)</f>
        <v>#REF!</v>
      </c>
      <c r="C144" s="13" t="e">
        <f>SUM(C142:C143)</f>
        <v>#REF!</v>
      </c>
      <c r="D144" s="13" t="e">
        <f>SUM(D142:D143)</f>
        <v>#REF!</v>
      </c>
      <c r="E144" s="13" t="e">
        <f>SUM(E142:E143)</f>
        <v>#REF!</v>
      </c>
    </row>
    <row r="145" spans="1:5" hidden="1"/>
    <row r="147" spans="1:5" ht="15.75">
      <c r="A147" s="9" t="s">
        <v>487</v>
      </c>
      <c r="B147" s="9" t="str">
        <f>'APPENDIX A FOR INPUT'!C151</f>
        <v>PLANNING BOARD</v>
      </c>
      <c r="C147" s="9"/>
      <c r="D147" s="9"/>
      <c r="E147" s="9"/>
    </row>
    <row r="148" spans="1:5">
      <c r="A148" t="s">
        <v>488</v>
      </c>
      <c r="B148" s="10"/>
      <c r="C148" s="11" t="e">
        <f>'APPENDIX A FOR INPUT'!#REF!</f>
        <v>#REF!</v>
      </c>
      <c r="D148" s="10"/>
      <c r="E148" s="10"/>
    </row>
    <row r="149" spans="1:5">
      <c r="A149" s="12"/>
      <c r="B149" s="13"/>
      <c r="C149" s="13"/>
      <c r="D149" s="13"/>
      <c r="E149" s="13"/>
    </row>
    <row r="150" spans="1:5">
      <c r="A150" s="12" t="s">
        <v>492</v>
      </c>
      <c r="B150" s="13">
        <f>SUM('APPENDIX A FOR INPUT'!E152)</f>
        <v>1200</v>
      </c>
      <c r="C150" s="13" t="e">
        <f>SUM('APPENDIX A FOR INPUT'!#REF!)</f>
        <v>#REF!</v>
      </c>
      <c r="D150" s="13" t="e">
        <f>SUM('APPENDIX A FOR INPUT'!#REF!)</f>
        <v>#REF!</v>
      </c>
      <c r="E150" s="13">
        <f>SUM('APPENDIX A FOR INPUT'!F152:F152)</f>
        <v>1200</v>
      </c>
    </row>
    <row r="151" spans="1:5">
      <c r="A151" s="12" t="s">
        <v>474</v>
      </c>
      <c r="B151" s="13">
        <f>SUM(B150:B150)</f>
        <v>1200</v>
      </c>
      <c r="C151" s="13" t="e">
        <f>SUM(C150:C150)</f>
        <v>#REF!</v>
      </c>
      <c r="D151" s="13" t="e">
        <f>SUM(D150:D150)</f>
        <v>#REF!</v>
      </c>
      <c r="E151" s="13">
        <f>SUM(E150:E150)</f>
        <v>1200</v>
      </c>
    </row>
    <row r="153" spans="1:5" hidden="1"/>
    <row r="154" spans="1:5" ht="15.75" hidden="1">
      <c r="A154" s="9" t="str">
        <f>'[1]town buildings'!A1</f>
        <v>DEPARTMENT NAME</v>
      </c>
      <c r="B154" s="9" t="str">
        <f>'[1]town buildings'!C1</f>
        <v>TOWN HALL COMPLEX 1192</v>
      </c>
      <c r="C154" s="9"/>
      <c r="D154" s="9"/>
      <c r="E154" s="9"/>
    </row>
    <row r="155" spans="1:5" hidden="1"/>
    <row r="156" spans="1:5" hidden="1">
      <c r="B156" s="10" t="e">
        <f>'APPENDIX A FOR INPUT'!#REF!</f>
        <v>#REF!</v>
      </c>
      <c r="C156" s="10" t="e">
        <f>'APPENDIX A FOR INPUT'!#REF!</f>
        <v>#REF!</v>
      </c>
      <c r="D156" s="10" t="e">
        <f>'APPENDIX A FOR INPUT'!#REF!</f>
        <v>#REF!</v>
      </c>
      <c r="E156" s="10" t="e">
        <f>'APPENDIX A FOR INPUT'!#REF!</f>
        <v>#REF!</v>
      </c>
    </row>
    <row r="157" spans="1:5" hidden="1">
      <c r="B157" s="10" t="s">
        <v>481</v>
      </c>
      <c r="C157" s="10" t="s">
        <v>481</v>
      </c>
      <c r="D157" s="10" t="s">
        <v>481</v>
      </c>
      <c r="E157" s="10" t="s">
        <v>481</v>
      </c>
    </row>
    <row r="158" spans="1:5" hidden="1">
      <c r="A158" t="str">
        <f>'[1]town buildings'!B5</f>
        <v>ACCOUNT NAME</v>
      </c>
      <c r="B158" s="10" t="s">
        <v>495</v>
      </c>
      <c r="C158" s="10" t="s">
        <v>495</v>
      </c>
      <c r="D158" s="10" t="s">
        <v>495</v>
      </c>
      <c r="E158" s="10" t="s">
        <v>485</v>
      </c>
    </row>
    <row r="159" spans="1:5" hidden="1">
      <c r="A159" s="12"/>
      <c r="B159" s="12"/>
      <c r="C159" s="12"/>
      <c r="D159" s="12"/>
      <c r="E159" s="13"/>
    </row>
    <row r="160" spans="1:5" hidden="1">
      <c r="A160" s="12" t="s">
        <v>493</v>
      </c>
      <c r="B160" s="13" t="e">
        <f>'APPENDIX A FOR INPUT'!#REF!</f>
        <v>#REF!</v>
      </c>
      <c r="C160" s="13" t="e">
        <f>'APPENDIX A FOR INPUT'!#REF!</f>
        <v>#REF!</v>
      </c>
      <c r="D160" s="13" t="e">
        <f>'APPENDIX A FOR INPUT'!#REF!</f>
        <v>#REF!</v>
      </c>
      <c r="E160" s="13" t="e">
        <f>'APPENDIX A FOR INPUT'!#REF!</f>
        <v>#REF!</v>
      </c>
    </row>
    <row r="161" spans="1:5" hidden="1">
      <c r="A161" s="12" t="s">
        <v>489</v>
      </c>
      <c r="B161" s="13" t="e">
        <f>SUM('APPENDIX A FOR INPUT'!#REF!)</f>
        <v>#REF!</v>
      </c>
      <c r="C161" s="13" t="e">
        <f>SUM('APPENDIX A FOR INPUT'!#REF!)</f>
        <v>#REF!</v>
      </c>
      <c r="D161" s="13" t="e">
        <f>SUM('APPENDIX A FOR INPUT'!#REF!)</f>
        <v>#REF!</v>
      </c>
      <c r="E161" s="13" t="e">
        <f>SUM('APPENDIX A FOR INPUT'!#REF!)</f>
        <v>#REF!</v>
      </c>
    </row>
    <row r="162" spans="1:5" hidden="1">
      <c r="A162" s="12" t="s">
        <v>474</v>
      </c>
      <c r="B162" s="13" t="e">
        <f>SUM(B160:B161)</f>
        <v>#REF!</v>
      </c>
      <c r="C162" s="13" t="e">
        <f>SUM(C160:C161)</f>
        <v>#REF!</v>
      </c>
      <c r="D162" s="13" t="e">
        <f>SUM(D160:D161)</f>
        <v>#REF!</v>
      </c>
      <c r="E162" s="13" t="e">
        <f>SUM(E160:E161)</f>
        <v>#REF!</v>
      </c>
    </row>
    <row r="163" spans="1:5" hidden="1"/>
    <row r="165" spans="1:5" ht="15.75">
      <c r="A165" s="9" t="s">
        <v>487</v>
      </c>
      <c r="B165" s="9" t="str">
        <f>'APPENDIX A FOR INPUT'!C156</f>
        <v>TOWN  BUILDINGS</v>
      </c>
      <c r="C165" s="9"/>
      <c r="D165" s="9"/>
      <c r="E165" s="9"/>
    </row>
    <row r="166" spans="1:5">
      <c r="A166" t="s">
        <v>488</v>
      </c>
      <c r="B166" s="10"/>
      <c r="C166" s="11" t="e">
        <f>'APPENDIX A FOR INPUT'!#REF!</f>
        <v>#REF!</v>
      </c>
      <c r="D166" s="10"/>
      <c r="E166" s="10"/>
    </row>
    <row r="167" spans="1:5">
      <c r="A167" s="12"/>
      <c r="B167" s="13"/>
      <c r="C167" s="13"/>
      <c r="D167" s="13"/>
      <c r="E167" s="13"/>
    </row>
    <row r="168" spans="1:5">
      <c r="A168" s="12" t="s">
        <v>493</v>
      </c>
      <c r="B168" s="13">
        <f>SUM('APPENDIX A FOR INPUT'!E157:E157)</f>
        <v>18305</v>
      </c>
      <c r="C168" s="13" t="e">
        <f>SUM('APPENDIX A FOR INPUT'!#REF!)</f>
        <v>#REF!</v>
      </c>
      <c r="D168" s="13">
        <v>18305</v>
      </c>
      <c r="E168" s="13">
        <f>SUM('APPENDIX A FOR INPUT'!F157:F157)</f>
        <v>18305</v>
      </c>
    </row>
    <row r="169" spans="1:5">
      <c r="A169" s="12" t="s">
        <v>489</v>
      </c>
      <c r="B169" s="13">
        <f>SUM('APPENDIX A FOR INPUT'!E158:E163)</f>
        <v>29760</v>
      </c>
      <c r="C169" s="13" t="e">
        <f>SUM('APPENDIX A FOR INPUT'!#REF!)</f>
        <v>#REF!</v>
      </c>
      <c r="D169" s="13">
        <v>31386</v>
      </c>
      <c r="E169" s="13">
        <f>SUM('APPENDIX A FOR INPUT'!F158:F163)</f>
        <v>30336</v>
      </c>
    </row>
    <row r="170" spans="1:5">
      <c r="A170" s="12" t="s">
        <v>474</v>
      </c>
      <c r="B170" s="13">
        <f>SUM(B168:B169)</f>
        <v>48065</v>
      </c>
      <c r="C170" s="13" t="e">
        <f>SUM(C168:C169)</f>
        <v>#REF!</v>
      </c>
      <c r="D170" s="13">
        <f>SUM(D168:D169)</f>
        <v>49691</v>
      </c>
      <c r="E170" s="13">
        <f>SUM(E168:E169)</f>
        <v>48641</v>
      </c>
    </row>
    <row r="173" spans="1:5" ht="15.75">
      <c r="A173" s="9" t="s">
        <v>487</v>
      </c>
      <c r="B173" s="9" t="str">
        <f>'APPENDIX A FOR INPUT'!C167</f>
        <v>PUBLIC SAFETY BUILDING</v>
      </c>
      <c r="C173" s="9"/>
      <c r="D173" s="9"/>
      <c r="E173" s="9"/>
    </row>
    <row r="174" spans="1:5">
      <c r="A174" t="s">
        <v>488</v>
      </c>
      <c r="B174" s="10"/>
      <c r="C174" s="11" t="e">
        <f>'APPENDIX A FOR INPUT'!#REF!</f>
        <v>#REF!</v>
      </c>
      <c r="D174" s="10"/>
      <c r="E174" s="10"/>
    </row>
    <row r="175" spans="1:5">
      <c r="A175" s="12"/>
      <c r="B175" s="13"/>
      <c r="C175" s="13"/>
      <c r="D175" s="13"/>
      <c r="E175" s="13"/>
    </row>
    <row r="176" spans="1:5">
      <c r="A176" s="12" t="s">
        <v>489</v>
      </c>
      <c r="B176" s="13">
        <f>SUM('APPENDIX A FOR INPUT'!E168:E186)</f>
        <v>77400</v>
      </c>
      <c r="C176" s="13" t="e">
        <f>SUM('APPENDIX A FOR INPUT'!#REF!)</f>
        <v>#REF!</v>
      </c>
      <c r="D176" s="13">
        <f>83000</f>
        <v>83000</v>
      </c>
      <c r="E176" s="13">
        <f>SUM('APPENDIX A FOR INPUT'!F168:F186)</f>
        <v>79400</v>
      </c>
    </row>
    <row r="177" spans="1:5">
      <c r="A177" s="12" t="s">
        <v>494</v>
      </c>
      <c r="B177" s="13">
        <f>'APPENDIX A FOR INPUT'!E188</f>
        <v>0</v>
      </c>
      <c r="C177" s="13" t="e">
        <f>'APPENDIX A FOR INPUT'!#REF!</f>
        <v>#REF!</v>
      </c>
      <c r="D177" s="13">
        <v>0</v>
      </c>
      <c r="E177" s="13">
        <f>'APPENDIX A FOR INPUT'!F188</f>
        <v>0</v>
      </c>
    </row>
    <row r="178" spans="1:5">
      <c r="A178" s="12" t="s">
        <v>474</v>
      </c>
      <c r="B178" s="13">
        <f>SUM(B176:B177)</f>
        <v>77400</v>
      </c>
      <c r="C178" s="13" t="e">
        <f>SUM(C175:C176)</f>
        <v>#REF!</v>
      </c>
      <c r="D178" s="13">
        <f>SUM(D176:D177)</f>
        <v>83000</v>
      </c>
      <c r="E178" s="13">
        <f>SUM(E176:E177)</f>
        <v>79400</v>
      </c>
    </row>
    <row r="179" spans="1:5">
      <c r="B179" s="16"/>
      <c r="C179" s="16"/>
      <c r="D179" s="16"/>
      <c r="E179" s="16"/>
    </row>
    <row r="181" spans="1:5" ht="15.75">
      <c r="A181" s="9" t="s">
        <v>487</v>
      </c>
      <c r="B181" s="9" t="str">
        <f>'APPENDIX A FOR INPUT'!C219</f>
        <v>POLICE DEPT.</v>
      </c>
      <c r="C181" s="9"/>
      <c r="D181" s="9"/>
      <c r="E181" s="9"/>
    </row>
    <row r="182" spans="1:5">
      <c r="A182" t="s">
        <v>488</v>
      </c>
      <c r="B182" s="10"/>
      <c r="C182" s="11" t="e">
        <f>'APPENDIX A FOR INPUT'!#REF!</f>
        <v>#REF!</v>
      </c>
      <c r="D182" s="10"/>
      <c r="E182" s="10"/>
    </row>
    <row r="183" spans="1:5">
      <c r="A183" s="12"/>
      <c r="B183" s="13"/>
      <c r="C183" s="13"/>
      <c r="D183" s="13"/>
      <c r="E183" s="13"/>
    </row>
    <row r="184" spans="1:5">
      <c r="A184" s="12" t="s">
        <v>493</v>
      </c>
      <c r="B184" s="13">
        <f>SUM('APPENDIX A FOR INPUT'!E220:E233)</f>
        <v>1438402</v>
      </c>
      <c r="C184" s="13" t="e">
        <f>SUM('APPENDIX A FOR INPUT'!#REF!)</f>
        <v>#REF!</v>
      </c>
      <c r="D184" s="13">
        <v>1493951</v>
      </c>
      <c r="E184" s="13">
        <f>SUM('APPENDIX A FOR INPUT'!F220:F233)</f>
        <v>1492492</v>
      </c>
    </row>
    <row r="185" spans="1:5">
      <c r="A185" s="12" t="s">
        <v>489</v>
      </c>
      <c r="B185" s="13">
        <f>SUM('APPENDIX A FOR INPUT'!E234:E263)</f>
        <v>116072</v>
      </c>
      <c r="C185" s="13" t="e">
        <f>SUM('APPENDIX A FOR INPUT'!#REF!)</f>
        <v>#REF!</v>
      </c>
      <c r="D185" s="13">
        <f>133297</f>
        <v>133297</v>
      </c>
      <c r="E185" s="13">
        <f>SUM('APPENDIX A FOR INPUT'!F234:F261)+('APPENDIX A FOR INPUT'!F262)</f>
        <v>112630</v>
      </c>
    </row>
    <row r="186" spans="1:5">
      <c r="A186" s="12" t="s">
        <v>494</v>
      </c>
      <c r="B186" s="13" t="e">
        <f>'APPENDIX A FOR INPUT'!#REF!</f>
        <v>#REF!</v>
      </c>
      <c r="C186" s="13" t="e">
        <f>'APPENDIX A FOR INPUT'!#REF!</f>
        <v>#REF!</v>
      </c>
      <c r="D186" s="13">
        <v>2145</v>
      </c>
      <c r="E186" s="13">
        <f>'APPENDIX A FOR INPUT'!F263</f>
        <v>2145</v>
      </c>
    </row>
    <row r="187" spans="1:5">
      <c r="A187" s="12" t="s">
        <v>474</v>
      </c>
      <c r="B187" s="13" t="e">
        <f>SUM(B184:B186)</f>
        <v>#REF!</v>
      </c>
      <c r="C187" s="13" t="e">
        <f>SUM(C184:C186)</f>
        <v>#REF!</v>
      </c>
      <c r="D187" s="13">
        <f>SUM(D184:D186)</f>
        <v>1629393</v>
      </c>
      <c r="E187" s="13">
        <f>SUM(E184:E186)</f>
        <v>1607267</v>
      </c>
    </row>
    <row r="190" spans="1:5" ht="15.75">
      <c r="A190" s="9" t="s">
        <v>487</v>
      </c>
      <c r="B190" s="9" t="str">
        <f>'APPENDIX A FOR INPUT'!C267</f>
        <v>FIRE DEPARTMENT</v>
      </c>
      <c r="C190" s="9"/>
      <c r="D190" s="9"/>
      <c r="E190" s="9"/>
    </row>
    <row r="191" spans="1:5">
      <c r="A191" t="s">
        <v>488</v>
      </c>
      <c r="B191" s="10"/>
      <c r="C191" s="11" t="e">
        <f>'APPENDIX A FOR INPUT'!#REF!</f>
        <v>#REF!</v>
      </c>
      <c r="D191" s="10"/>
      <c r="E191" s="10"/>
    </row>
    <row r="192" spans="1:5">
      <c r="A192" s="12"/>
      <c r="B192" s="12"/>
      <c r="C192" s="12"/>
      <c r="D192" s="12"/>
      <c r="E192" s="12"/>
    </row>
    <row r="193" spans="1:5">
      <c r="A193" s="12" t="s">
        <v>493</v>
      </c>
      <c r="B193" s="13">
        <f>SUM('APPENDIX A FOR INPUT'!E268:E272)</f>
        <v>186577</v>
      </c>
      <c r="C193" s="13" t="e">
        <f>SUM('APPENDIX A FOR INPUT'!#REF!)</f>
        <v>#REF!</v>
      </c>
      <c r="D193" s="13">
        <v>192270</v>
      </c>
      <c r="E193" s="13">
        <f>SUM('APPENDIX A FOR INPUT'!F268:F272)</f>
        <v>191270</v>
      </c>
    </row>
    <row r="194" spans="1:5">
      <c r="A194" s="12" t="s">
        <v>489</v>
      </c>
      <c r="B194" s="13">
        <f>SUM('APPENDIX A FOR INPUT'!E273:E285)</f>
        <v>83760</v>
      </c>
      <c r="C194" s="13" t="e">
        <f>SUM('APPENDIX A FOR INPUT'!#REF!)</f>
        <v>#REF!</v>
      </c>
      <c r="D194" s="13">
        <f>89260</f>
        <v>89260</v>
      </c>
      <c r="E194" s="13">
        <f>SUM('APPENDIX A FOR INPUT'!F273:F285)</f>
        <v>82760</v>
      </c>
    </row>
    <row r="195" spans="1:5">
      <c r="A195" s="12" t="s">
        <v>494</v>
      </c>
      <c r="B195" s="13">
        <f>SUM('APPENDIX A FOR INPUT'!E286:E287)</f>
        <v>12000</v>
      </c>
      <c r="C195" s="13" t="e">
        <f>'APPENDIX A FOR INPUT'!#REF!</f>
        <v>#REF!</v>
      </c>
      <c r="D195" s="13">
        <v>17000</v>
      </c>
      <c r="E195" s="13">
        <f>SUM('APPENDIX A FOR INPUT'!F286:F287)</f>
        <v>14000</v>
      </c>
    </row>
    <row r="196" spans="1:5">
      <c r="A196" s="12" t="s">
        <v>474</v>
      </c>
      <c r="B196" s="13">
        <f>SUM(B193:B195)</f>
        <v>282337</v>
      </c>
      <c r="C196" s="13" t="e">
        <f>SUM(C193:C195)</f>
        <v>#REF!</v>
      </c>
      <c r="D196" s="13">
        <f>SUM(D193:D195)</f>
        <v>298530</v>
      </c>
      <c r="E196" s="13">
        <f>SUM(E193:E195)</f>
        <v>288030</v>
      </c>
    </row>
    <row r="199" spans="1:5" ht="15.75">
      <c r="A199" s="9" t="s">
        <v>487</v>
      </c>
      <c r="B199" s="9" t="str">
        <f>'APPENDIX A FOR INPUT'!C291</f>
        <v>EMERGENCY MEDICAL SERVICES</v>
      </c>
      <c r="C199" s="9"/>
      <c r="D199" s="9"/>
      <c r="E199" s="9"/>
    </row>
    <row r="200" spans="1:5">
      <c r="A200" t="s">
        <v>488</v>
      </c>
      <c r="B200" s="10"/>
      <c r="C200" s="11" t="e">
        <f>'APPENDIX A FOR INPUT'!#REF!</f>
        <v>#REF!</v>
      </c>
      <c r="D200" s="10"/>
      <c r="E200" s="10"/>
    </row>
    <row r="201" spans="1:5">
      <c r="A201" s="12"/>
      <c r="B201" s="12"/>
      <c r="C201" s="12"/>
      <c r="D201" s="12"/>
      <c r="E201" s="12"/>
    </row>
    <row r="202" spans="1:5">
      <c r="A202" s="12" t="s">
        <v>493</v>
      </c>
      <c r="B202" s="13">
        <f>SUM('APPENDIX A FOR INPUT'!E292:E297)</f>
        <v>696528</v>
      </c>
      <c r="C202" s="13" t="e">
        <f>SUM('APPENDIX A FOR INPUT'!#REF!)</f>
        <v>#REF!</v>
      </c>
      <c r="D202" s="13">
        <v>778400</v>
      </c>
      <c r="E202" s="13">
        <f>SUM('APPENDIX A FOR INPUT'!F292:F297)</f>
        <v>709600</v>
      </c>
    </row>
    <row r="203" spans="1:5">
      <c r="A203" s="12" t="s">
        <v>489</v>
      </c>
      <c r="B203" s="13">
        <f>SUM('APPENDIX A FOR INPUT'!E298:E311)</f>
        <v>89500</v>
      </c>
      <c r="C203" s="13" t="e">
        <f>SUM('APPENDIX A FOR INPUT'!#REF!)</f>
        <v>#REF!</v>
      </c>
      <c r="D203" s="13">
        <v>101100</v>
      </c>
      <c r="E203" s="13">
        <f>SUM('APPENDIX A FOR INPUT'!F298:F311)</f>
        <v>92600</v>
      </c>
    </row>
    <row r="204" spans="1:5">
      <c r="A204" s="12" t="s">
        <v>494</v>
      </c>
      <c r="B204" s="13">
        <f>'APPENDIX A FOR INPUT'!E312</f>
        <v>4000</v>
      </c>
      <c r="C204" s="13" t="e">
        <f>'APPENDIX A FOR INPUT'!#REF!</f>
        <v>#REF!</v>
      </c>
      <c r="D204" s="13">
        <v>4000</v>
      </c>
      <c r="E204" s="13">
        <f>'APPENDIX A FOR INPUT'!F312</f>
        <v>39000</v>
      </c>
    </row>
    <row r="205" spans="1:5">
      <c r="A205" s="12" t="s">
        <v>474</v>
      </c>
      <c r="B205" s="13">
        <f>SUM(B202:B204)</f>
        <v>790028</v>
      </c>
      <c r="C205" s="13" t="e">
        <f>SUM(C202:C204)</f>
        <v>#REF!</v>
      </c>
      <c r="D205" s="13">
        <f>SUM(D202:D204)</f>
        <v>883500</v>
      </c>
      <c r="E205" s="13">
        <f>SUM(E202:E204)</f>
        <v>841200</v>
      </c>
    </row>
    <row r="208" spans="1:5" ht="15.75">
      <c r="A208" s="9" t="s">
        <v>487</v>
      </c>
      <c r="B208" s="9" t="str">
        <f>'APPENDIX A FOR INPUT'!C316</f>
        <v>BUILDING DEPARTMENT</v>
      </c>
      <c r="C208" s="9"/>
      <c r="D208" s="9"/>
      <c r="E208" s="9"/>
    </row>
    <row r="209" spans="1:5">
      <c r="A209" t="s">
        <v>488</v>
      </c>
      <c r="B209" s="10"/>
      <c r="C209" s="11" t="e">
        <f>'APPENDIX A FOR INPUT'!#REF!</f>
        <v>#REF!</v>
      </c>
      <c r="D209" s="10"/>
      <c r="E209" s="10"/>
    </row>
    <row r="210" spans="1:5">
      <c r="A210" s="12"/>
      <c r="B210" s="12"/>
      <c r="C210" s="12"/>
      <c r="D210" s="12"/>
      <c r="E210" s="12"/>
    </row>
    <row r="211" spans="1:5">
      <c r="A211" s="12" t="s">
        <v>493</v>
      </c>
      <c r="B211" s="13">
        <f>SUM('APPENDIX A FOR INPUT'!E317:E324)</f>
        <v>48340</v>
      </c>
      <c r="C211" s="13" t="e">
        <f>SUM('APPENDIX A FOR INPUT'!#REF!)</f>
        <v>#REF!</v>
      </c>
      <c r="D211" s="13">
        <v>52629</v>
      </c>
      <c r="E211" s="13">
        <f>SUM('APPENDIX A FOR INPUT'!F317:F324)</f>
        <v>52629.279999999999</v>
      </c>
    </row>
    <row r="212" spans="1:5">
      <c r="A212" s="12" t="s">
        <v>489</v>
      </c>
      <c r="B212" s="13">
        <f>SUM('APPENDIX A FOR INPUT'!E325:E328)</f>
        <v>1790</v>
      </c>
      <c r="C212" s="13" t="e">
        <f>SUM('APPENDIX A FOR INPUT'!#REF!)</f>
        <v>#REF!</v>
      </c>
      <c r="D212" s="13">
        <v>1790</v>
      </c>
      <c r="E212" s="13">
        <f>SUM('APPENDIX A FOR INPUT'!F325:F328)</f>
        <v>1790</v>
      </c>
    </row>
    <row r="213" spans="1:5">
      <c r="A213" s="12" t="s">
        <v>494</v>
      </c>
      <c r="B213" s="13">
        <f>'APPENDIX A FOR INPUT'!E329</f>
        <v>1000</v>
      </c>
      <c r="C213" s="13" t="e">
        <f>'APPENDIX A FOR INPUT'!#REF!</f>
        <v>#REF!</v>
      </c>
      <c r="D213" s="13" t="e">
        <f>'APPENDIX A FOR INPUT'!#REF!</f>
        <v>#REF!</v>
      </c>
      <c r="E213" s="13">
        <f>'APPENDIX A FOR INPUT'!F329</f>
        <v>1000</v>
      </c>
    </row>
    <row r="214" spans="1:5">
      <c r="A214" s="12" t="s">
        <v>474</v>
      </c>
      <c r="B214" s="13">
        <f>SUM(B211:B213)</f>
        <v>51130</v>
      </c>
      <c r="C214" s="13" t="e">
        <f>SUM(C211:C213)</f>
        <v>#REF!</v>
      </c>
      <c r="D214" s="13" t="e">
        <f>SUM(D211:D213)</f>
        <v>#REF!</v>
      </c>
      <c r="E214" s="13">
        <f>SUM(E211:E213)</f>
        <v>55419.28</v>
      </c>
    </row>
    <row r="217" spans="1:5" ht="15.75">
      <c r="A217" s="9" t="s">
        <v>487</v>
      </c>
      <c r="B217" s="9" t="str">
        <f>'APPENDIX A FOR INPUT'!C333</f>
        <v>COMMUNICATIONS DEPT.</v>
      </c>
      <c r="C217" s="9"/>
      <c r="D217" s="9"/>
      <c r="E217" s="9"/>
    </row>
    <row r="218" spans="1:5">
      <c r="A218" t="s">
        <v>488</v>
      </c>
      <c r="B218" s="10"/>
      <c r="C218" s="11" t="e">
        <f>'APPENDIX A FOR INPUT'!#REF!</f>
        <v>#REF!</v>
      </c>
      <c r="D218" s="10"/>
      <c r="E218" s="10"/>
    </row>
    <row r="219" spans="1:5">
      <c r="A219" s="12"/>
      <c r="B219" s="12"/>
      <c r="C219" s="12"/>
      <c r="D219" s="12"/>
      <c r="E219" s="12"/>
    </row>
    <row r="220" spans="1:5">
      <c r="A220" s="12" t="s">
        <v>493</v>
      </c>
      <c r="B220" s="13">
        <f>SUM('APPENDIX A FOR INPUT'!E334:E342)</f>
        <v>389528</v>
      </c>
      <c r="C220" s="13" t="e">
        <f>SUM('APPENDIX A FOR INPUT'!#REF!)</f>
        <v>#REF!</v>
      </c>
      <c r="D220" s="13">
        <v>396837</v>
      </c>
      <c r="E220" s="13">
        <f>SUM('APPENDIX A FOR INPUT'!F334:F341)</f>
        <v>396837</v>
      </c>
    </row>
    <row r="221" spans="1:5">
      <c r="A221" s="12" t="s">
        <v>489</v>
      </c>
      <c r="B221" s="13">
        <f>SUM('APPENDIX A FOR INPUT'!E343:E349)</f>
        <v>18681</v>
      </c>
      <c r="C221" s="13" t="e">
        <f>SUM('APPENDIX A FOR INPUT'!#REF!)</f>
        <v>#REF!</v>
      </c>
      <c r="D221" s="13">
        <v>22431</v>
      </c>
      <c r="E221" s="13">
        <f>SUM('APPENDIX A FOR INPUT'!F342:F348)</f>
        <v>22431</v>
      </c>
    </row>
    <row r="222" spans="1:5">
      <c r="A222" s="12" t="s">
        <v>494</v>
      </c>
      <c r="B222" s="14">
        <f>SUM('APPENDIX A FOR INPUT'!E349:E350)</f>
        <v>0</v>
      </c>
      <c r="C222" s="14" t="e">
        <f>'APPENDIX A FOR INPUT'!#REF!</f>
        <v>#REF!</v>
      </c>
      <c r="D222" s="14">
        <v>0</v>
      </c>
      <c r="E222" s="14">
        <f>SUM('APPENDIX A FOR INPUT'!F349:F350)</f>
        <v>0</v>
      </c>
    </row>
    <row r="223" spans="1:5">
      <c r="A223" s="12" t="s">
        <v>474</v>
      </c>
      <c r="B223" s="13">
        <f>SUM(B220:B222)</f>
        <v>408209</v>
      </c>
      <c r="C223" s="13" t="e">
        <f>SUM(C220:C222)</f>
        <v>#REF!</v>
      </c>
      <c r="D223" s="13">
        <f>SUM(D220:D222)</f>
        <v>419268</v>
      </c>
      <c r="E223" s="13">
        <f>SUM(E220:E222)</f>
        <v>419268</v>
      </c>
    </row>
    <row r="225" spans="1:5" hidden="1"/>
    <row r="226" spans="1:5" ht="15.75" hidden="1">
      <c r="A226" s="9" t="str">
        <f>'[1]dog officer'!A1</f>
        <v>DEPARTMENT NAME</v>
      </c>
      <c r="B226" s="9" t="str">
        <f>'[1]dog officer'!C1</f>
        <v>ANIMAL CONTROL/DOG OFFICER 2292</v>
      </c>
      <c r="C226" s="9"/>
      <c r="D226" s="9"/>
      <c r="E226" s="9"/>
    </row>
    <row r="227" spans="1:5" hidden="1"/>
    <row r="228" spans="1:5" hidden="1">
      <c r="B228" s="10" t="e">
        <f>'APPENDIX A FOR INPUT'!#REF!</f>
        <v>#REF!</v>
      </c>
      <c r="C228" s="10" t="e">
        <f>'APPENDIX A FOR INPUT'!#REF!</f>
        <v>#REF!</v>
      </c>
      <c r="D228" s="10" t="e">
        <f>'APPENDIX A FOR INPUT'!#REF!</f>
        <v>#REF!</v>
      </c>
      <c r="E228" s="10" t="e">
        <f>'APPENDIX A FOR INPUT'!#REF!</f>
        <v>#REF!</v>
      </c>
    </row>
    <row r="229" spans="1:5" hidden="1">
      <c r="B229" s="10" t="s">
        <v>481</v>
      </c>
      <c r="C229" s="10" t="s">
        <v>481</v>
      </c>
      <c r="D229" s="10" t="s">
        <v>481</v>
      </c>
      <c r="E229" s="10" t="s">
        <v>481</v>
      </c>
    </row>
    <row r="230" spans="1:5" hidden="1">
      <c r="A230" t="str">
        <f>'[1]dog officer'!B5</f>
        <v>ACCOUNT NAME</v>
      </c>
      <c r="B230" s="10" t="s">
        <v>495</v>
      </c>
      <c r="C230" s="10" t="s">
        <v>495</v>
      </c>
      <c r="D230" s="10" t="s">
        <v>495</v>
      </c>
      <c r="E230" s="10" t="s">
        <v>485</v>
      </c>
    </row>
    <row r="231" spans="1:5" hidden="1">
      <c r="A231" s="12"/>
      <c r="B231" s="12"/>
      <c r="C231" s="12"/>
      <c r="D231" s="12"/>
      <c r="E231" s="12"/>
    </row>
    <row r="232" spans="1:5" hidden="1">
      <c r="A232" s="12" t="s">
        <v>493</v>
      </c>
      <c r="B232" s="14" t="e">
        <f>'APPENDIX A FOR INPUT'!#REF!</f>
        <v>#REF!</v>
      </c>
      <c r="C232" s="14" t="e">
        <f>'APPENDIX A FOR INPUT'!#REF!</f>
        <v>#REF!</v>
      </c>
      <c r="D232" s="14" t="e">
        <f>'APPENDIX A FOR INPUT'!#REF!</f>
        <v>#REF!</v>
      </c>
      <c r="E232" s="14" t="e">
        <f>'APPENDIX A FOR INPUT'!#REF!</f>
        <v>#REF!</v>
      </c>
    </row>
    <row r="233" spans="1:5" hidden="1">
      <c r="A233" s="12" t="s">
        <v>489</v>
      </c>
      <c r="B233" s="13" t="e">
        <f>SUM('APPENDIX A FOR INPUT'!#REF!)</f>
        <v>#REF!</v>
      </c>
      <c r="C233" s="13" t="e">
        <f>SUM('APPENDIX A FOR INPUT'!#REF!)</f>
        <v>#REF!</v>
      </c>
      <c r="D233" s="13" t="e">
        <f>SUM('APPENDIX A FOR INPUT'!#REF!)</f>
        <v>#REF!</v>
      </c>
      <c r="E233" s="13" t="e">
        <f>SUM('APPENDIX A FOR INPUT'!#REF!)</f>
        <v>#REF!</v>
      </c>
    </row>
    <row r="234" spans="1:5" hidden="1">
      <c r="A234" s="12" t="s">
        <v>494</v>
      </c>
      <c r="B234" s="13" t="e">
        <f>'APPENDIX A FOR INPUT'!#REF!</f>
        <v>#REF!</v>
      </c>
      <c r="C234" s="13" t="e">
        <f>'APPENDIX A FOR INPUT'!#REF!</f>
        <v>#REF!</v>
      </c>
      <c r="D234" s="13" t="e">
        <f>'APPENDIX A FOR INPUT'!#REF!</f>
        <v>#REF!</v>
      </c>
      <c r="E234" s="13" t="e">
        <f>'APPENDIX A FOR INPUT'!#REF!</f>
        <v>#REF!</v>
      </c>
    </row>
    <row r="235" spans="1:5" hidden="1">
      <c r="A235" s="12" t="s">
        <v>474</v>
      </c>
      <c r="B235" s="13" t="e">
        <f>SUM(B232:B234)</f>
        <v>#REF!</v>
      </c>
      <c r="C235" s="13" t="e">
        <f>SUM(C232:C234)</f>
        <v>#REF!</v>
      </c>
      <c r="D235" s="13" t="e">
        <f>SUM(D232:D234)</f>
        <v>#REF!</v>
      </c>
      <c r="E235" s="13" t="e">
        <f>SUM(E232:E234)</f>
        <v>#REF!</v>
      </c>
    </row>
    <row r="236" spans="1:5" hidden="1"/>
    <row r="238" spans="1:5" ht="15.75">
      <c r="A238" s="9" t="s">
        <v>487</v>
      </c>
      <c r="B238" s="9" t="str">
        <f>'APPENDIX A FOR INPUT'!C353</f>
        <v>ANIMAL CONTROL/DOG OFFICER</v>
      </c>
      <c r="C238" s="9"/>
      <c r="D238" s="9"/>
      <c r="E238" s="9"/>
    </row>
    <row r="239" spans="1:5">
      <c r="A239" t="s">
        <v>488</v>
      </c>
      <c r="B239" s="10"/>
      <c r="C239" s="11" t="e">
        <f>'APPENDIX A FOR INPUT'!#REF!</f>
        <v>#REF!</v>
      </c>
      <c r="D239" s="10"/>
      <c r="E239" s="10"/>
    </row>
    <row r="240" spans="1:5">
      <c r="A240" s="12"/>
      <c r="B240" s="12"/>
      <c r="C240" s="12"/>
      <c r="D240" s="12"/>
      <c r="E240" s="12"/>
    </row>
    <row r="241" spans="1:5">
      <c r="A241" s="12" t="s">
        <v>493</v>
      </c>
      <c r="B241" s="13">
        <f>SUM('APPENDIX A FOR INPUT'!E354:E355)</f>
        <v>24990</v>
      </c>
      <c r="C241" s="13" t="e">
        <f>SUM('APPENDIX A FOR INPUT'!#REF!)</f>
        <v>#REF!</v>
      </c>
      <c r="D241" s="13">
        <v>25242</v>
      </c>
      <c r="E241" s="13">
        <f>SUM('APPENDIX A FOR INPUT'!F354:F355)</f>
        <v>25242.144</v>
      </c>
    </row>
    <row r="242" spans="1:5">
      <c r="A242" s="12" t="s">
        <v>489</v>
      </c>
      <c r="B242" s="13">
        <f>SUM('APPENDIX A FOR INPUT'!E356:E362)</f>
        <v>2723</v>
      </c>
      <c r="C242" s="13" t="e">
        <f>SUM('APPENDIX A FOR INPUT'!#REF!)</f>
        <v>#REF!</v>
      </c>
      <c r="D242" s="13">
        <v>2777</v>
      </c>
      <c r="E242" s="13">
        <f>SUM('APPENDIX A FOR INPUT'!F356:F362)</f>
        <v>2777.46</v>
      </c>
    </row>
    <row r="243" spans="1:5">
      <c r="A243" s="12" t="s">
        <v>474</v>
      </c>
      <c r="B243" s="13">
        <f>SUM(B241:B242)</f>
        <v>27713</v>
      </c>
      <c r="C243" s="13" t="e">
        <f>SUM(C241:C242)</f>
        <v>#REF!</v>
      </c>
      <c r="D243" s="13">
        <f>SUM(D241:D242)</f>
        <v>28019</v>
      </c>
      <c r="E243" s="13">
        <f>SUM(E241:E242)</f>
        <v>28019.603999999999</v>
      </c>
    </row>
    <row r="246" spans="1:5" ht="15.75">
      <c r="A246" s="9" t="s">
        <v>487</v>
      </c>
      <c r="B246" s="9" t="str">
        <f>'APPENDIX A FOR INPUT'!C367</f>
        <v>FORESTRY</v>
      </c>
      <c r="C246" s="9"/>
      <c r="D246" s="9"/>
      <c r="E246" s="9"/>
    </row>
    <row r="247" spans="1:5">
      <c r="A247" t="s">
        <v>488</v>
      </c>
      <c r="B247" s="10"/>
      <c r="C247" s="11" t="e">
        <f>'APPENDIX A FOR INPUT'!#REF!</f>
        <v>#REF!</v>
      </c>
      <c r="D247" s="10"/>
      <c r="E247" s="10"/>
    </row>
    <row r="248" spans="1:5">
      <c r="A248" s="12"/>
      <c r="B248" s="12"/>
      <c r="C248" s="12"/>
      <c r="D248" s="12"/>
      <c r="E248" s="12"/>
    </row>
    <row r="249" spans="1:5">
      <c r="A249" s="12" t="s">
        <v>496</v>
      </c>
      <c r="B249" s="13">
        <f>'APPENDIX A FOR INPUT'!E368</f>
        <v>4000</v>
      </c>
      <c r="C249" s="13" t="e">
        <f>'APPENDIX A FOR INPUT'!#REF!</f>
        <v>#REF!</v>
      </c>
      <c r="D249" s="13">
        <v>4200</v>
      </c>
      <c r="E249" s="13">
        <f>'APPENDIX A FOR INPUT'!F368</f>
        <v>4120</v>
      </c>
    </row>
    <row r="250" spans="1:5">
      <c r="A250" s="12" t="s">
        <v>489</v>
      </c>
      <c r="B250" s="13">
        <f>SUM('APPENDIX A FOR INPUT'!E369:E371)</f>
        <v>21000</v>
      </c>
      <c r="C250" s="13" t="e">
        <f>SUM('APPENDIX A FOR INPUT'!#REF!)</f>
        <v>#REF!</v>
      </c>
      <c r="D250" s="13">
        <v>25000</v>
      </c>
      <c r="E250" s="13">
        <f>SUM('APPENDIX A FOR INPUT'!F369:F371)</f>
        <v>21000</v>
      </c>
    </row>
    <row r="251" spans="1:5">
      <c r="A251" s="12" t="s">
        <v>474</v>
      </c>
      <c r="B251" s="13">
        <f>SUM(B249:B250)</f>
        <v>25000</v>
      </c>
      <c r="C251" s="13" t="e">
        <f>SUM(C249:C250)</f>
        <v>#REF!</v>
      </c>
      <c r="D251" s="13">
        <f>SUM(D249:D250)</f>
        <v>29200</v>
      </c>
      <c r="E251" s="13">
        <f>SUM(E249:E250)</f>
        <v>25120</v>
      </c>
    </row>
    <row r="254" spans="1:5" ht="15.75" hidden="1">
      <c r="A254" s="9" t="str">
        <f>'[1]acushnet school'!A1</f>
        <v>DEPARTMENT NAME</v>
      </c>
      <c r="B254" s="9" t="s">
        <v>497</v>
      </c>
      <c r="C254" s="9"/>
      <c r="D254" s="9"/>
      <c r="E254" s="9"/>
    </row>
    <row r="255" spans="1:5" hidden="1">
      <c r="A255" t="str">
        <f>'[1]acushnet school'!B5</f>
        <v>ACCOUNT NAME</v>
      </c>
      <c r="B255" s="10"/>
      <c r="C255" s="11" t="e">
        <f>'APPENDIX A FOR INPUT'!#REF!</f>
        <v>#REF!</v>
      </c>
      <c r="D255" s="10"/>
      <c r="E255" s="10"/>
    </row>
    <row r="256" spans="1:5" hidden="1">
      <c r="A256" s="12"/>
      <c r="B256" s="12"/>
      <c r="C256" s="12"/>
      <c r="D256" s="12"/>
      <c r="E256" s="12"/>
    </row>
    <row r="257" spans="1:5" hidden="1">
      <c r="A257" s="12" t="s">
        <v>489</v>
      </c>
      <c r="B257" s="13" t="e">
        <f>'APPENDIX A FOR INPUT'!#REF!</f>
        <v>#REF!</v>
      </c>
      <c r="C257" s="13" t="e">
        <f>'APPENDIX A FOR INPUT'!#REF!</f>
        <v>#REF!</v>
      </c>
      <c r="D257" s="13" t="e">
        <f>'APPENDIX A FOR INPUT'!#REF!</f>
        <v>#REF!</v>
      </c>
      <c r="E257" s="13" t="e">
        <f>'APPENDIX A FOR INPUT'!#REF!</f>
        <v>#REF!</v>
      </c>
    </row>
    <row r="258" spans="1:5" hidden="1">
      <c r="A258" s="12" t="s">
        <v>474</v>
      </c>
      <c r="B258" s="13" t="e">
        <f>SUM(B256:B257)</f>
        <v>#REF!</v>
      </c>
      <c r="C258" s="13" t="e">
        <f>SUM(C256:C257)</f>
        <v>#REF!</v>
      </c>
      <c r="D258" s="13" t="e">
        <f>SUM(D256:D257)</f>
        <v>#REF!</v>
      </c>
      <c r="E258" s="13" t="e">
        <f>SUM(E256:E257)</f>
        <v>#REF!</v>
      </c>
    </row>
    <row r="259" spans="1:5" hidden="1">
      <c r="B259" s="16"/>
      <c r="C259" s="16"/>
      <c r="D259" s="16"/>
      <c r="E259" s="16"/>
    </row>
    <row r="260" spans="1:5" hidden="1"/>
    <row r="262" spans="1:5" ht="15.75">
      <c r="A262" s="9" t="s">
        <v>487</v>
      </c>
      <c r="B262" s="9" t="str">
        <f>'APPENDIX A FOR INPUT'!C399</f>
        <v>HIGHWAY DEPARTMENT</v>
      </c>
      <c r="C262" s="9"/>
      <c r="D262" s="9"/>
      <c r="E262" s="9"/>
    </row>
    <row r="263" spans="1:5">
      <c r="A263" t="s">
        <v>488</v>
      </c>
      <c r="B263" s="10"/>
      <c r="C263" s="11" t="e">
        <f>'APPENDIX A FOR INPUT'!#REF!</f>
        <v>#REF!</v>
      </c>
      <c r="D263" s="10"/>
      <c r="E263" s="10"/>
    </row>
    <row r="264" spans="1:5">
      <c r="A264" s="12"/>
      <c r="B264" s="12"/>
      <c r="C264" s="12"/>
      <c r="D264" s="12"/>
      <c r="E264" s="12"/>
    </row>
    <row r="265" spans="1:5">
      <c r="A265" s="12" t="s">
        <v>492</v>
      </c>
      <c r="B265" s="13">
        <f>SUM('APPENDIX A FOR INPUT'!E400)</f>
        <v>81000</v>
      </c>
      <c r="C265" s="13" t="e">
        <f>SUM('APPENDIX A FOR INPUT'!#REF!)</f>
        <v>#REF!</v>
      </c>
      <c r="D265" s="13">
        <v>85000</v>
      </c>
      <c r="E265" s="13">
        <f>SUM('APPENDIX A FOR INPUT'!F400)</f>
        <v>85000</v>
      </c>
    </row>
    <row r="266" spans="1:5">
      <c r="A266" s="12" t="s">
        <v>493</v>
      </c>
      <c r="B266" s="13">
        <f>SUM('APPENDIX A FOR INPUT'!E401:E407)</f>
        <v>564000</v>
      </c>
      <c r="C266" s="13" t="e">
        <f>SUM('APPENDIX A FOR INPUT'!#REF!)</f>
        <v>#REF!</v>
      </c>
      <c r="D266" s="13">
        <v>627590</v>
      </c>
      <c r="E266" s="13">
        <f>SUM('APPENDIX A FOR INPUT'!F401:F407)</f>
        <v>610790</v>
      </c>
    </row>
    <row r="267" spans="1:5">
      <c r="A267" s="12" t="s">
        <v>489</v>
      </c>
      <c r="B267" s="13">
        <f>SUM('APPENDIX A FOR INPUT'!E408:E432)</f>
        <v>391550</v>
      </c>
      <c r="C267" s="13" t="e">
        <f>SUM('APPENDIX A FOR INPUT'!#REF!)</f>
        <v>#REF!</v>
      </c>
      <c r="D267" s="13">
        <v>426230</v>
      </c>
      <c r="E267" s="13">
        <f>SUM('APPENDIX A FOR INPUT'!F408:F432)</f>
        <v>376950</v>
      </c>
    </row>
    <row r="268" spans="1:5">
      <c r="A268" s="12" t="s">
        <v>494</v>
      </c>
      <c r="B268" s="13">
        <f>SUM('APPENDIX A FOR INPUT'!E433:E434)</f>
        <v>5000</v>
      </c>
      <c r="C268" s="13" t="e">
        <f>SUM('APPENDIX A FOR INPUT'!#REF!)</f>
        <v>#REF!</v>
      </c>
      <c r="D268" s="13" t="e">
        <f>SUM('APPENDIX A FOR INPUT'!#REF!)</f>
        <v>#REF!</v>
      </c>
      <c r="E268" s="13">
        <f>SUM('APPENDIX A FOR INPUT'!F433:F434)</f>
        <v>4000</v>
      </c>
    </row>
    <row r="269" spans="1:5">
      <c r="A269" s="12" t="s">
        <v>474</v>
      </c>
      <c r="B269" s="13">
        <f>SUM(B265:B268)</f>
        <v>1041550</v>
      </c>
      <c r="C269" s="13" t="e">
        <f>SUM(C265:C268)</f>
        <v>#REF!</v>
      </c>
      <c r="D269" s="13" t="e">
        <f>SUM(D265:D268)</f>
        <v>#REF!</v>
      </c>
      <c r="E269" s="13">
        <f>SUM(E265:E268)</f>
        <v>1076740</v>
      </c>
    </row>
    <row r="272" spans="1:5" ht="15.75">
      <c r="A272" s="9" t="s">
        <v>487</v>
      </c>
      <c r="B272" s="9" t="str">
        <f>'APPENDIX A FOR INPUT'!C438</f>
        <v>VETERANS GRAVES</v>
      </c>
      <c r="C272" s="9"/>
      <c r="D272" s="9"/>
      <c r="E272" s="9"/>
    </row>
    <row r="273" spans="1:5">
      <c r="A273" t="s">
        <v>488</v>
      </c>
      <c r="B273" s="10"/>
      <c r="C273" s="11" t="e">
        <f>'APPENDIX A FOR INPUT'!#REF!</f>
        <v>#REF!</v>
      </c>
      <c r="D273" s="10"/>
      <c r="E273" s="10"/>
    </row>
    <row r="274" spans="1:5">
      <c r="A274" s="12"/>
      <c r="B274" s="12"/>
      <c r="C274" s="12"/>
      <c r="D274" s="12"/>
      <c r="E274" s="12"/>
    </row>
    <row r="275" spans="1:5">
      <c r="A275" s="12" t="s">
        <v>489</v>
      </c>
      <c r="B275" s="13">
        <f>SUM('APPENDIX A FOR INPUT'!E439:E440)</f>
        <v>1750</v>
      </c>
      <c r="C275" s="13" t="e">
        <f>SUM('APPENDIX A FOR INPUT'!#REF!)</f>
        <v>#REF!</v>
      </c>
      <c r="D275" s="13" t="e">
        <f>SUM('APPENDIX A FOR INPUT'!#REF!)</f>
        <v>#REF!</v>
      </c>
      <c r="E275" s="13">
        <f>SUM('APPENDIX A FOR INPUT'!F439:F440)</f>
        <v>1750</v>
      </c>
    </row>
    <row r="276" spans="1:5">
      <c r="A276" s="12" t="s">
        <v>474</v>
      </c>
      <c r="B276" s="13">
        <f>SUM(B274:B275)</f>
        <v>1750</v>
      </c>
      <c r="C276" s="13" t="e">
        <f>SUM(C274:C275)</f>
        <v>#REF!</v>
      </c>
      <c r="D276" s="13" t="e">
        <f>SUM(D274:D275)</f>
        <v>#REF!</v>
      </c>
      <c r="E276" s="13">
        <f>SUM(E274:E275)</f>
        <v>1750</v>
      </c>
    </row>
    <row r="277" spans="1:5">
      <c r="B277" s="16"/>
      <c r="C277" s="16"/>
      <c r="D277" s="16"/>
      <c r="E277" s="16"/>
    </row>
    <row r="279" spans="1:5" ht="15.75">
      <c r="A279" s="9" t="s">
        <v>487</v>
      </c>
      <c r="B279" s="9" t="str">
        <f>'APPENDIX A FOR INPUT'!C444</f>
        <v>STREET LIGHTS</v>
      </c>
      <c r="C279" s="9"/>
      <c r="D279" s="9"/>
      <c r="E279" s="9"/>
    </row>
    <row r="280" spans="1:5">
      <c r="A280" t="s">
        <v>488</v>
      </c>
      <c r="B280" s="10"/>
      <c r="C280" s="11" t="e">
        <f>'APPENDIX A FOR INPUT'!#REF!</f>
        <v>#REF!</v>
      </c>
      <c r="D280" s="10"/>
      <c r="E280" s="10"/>
    </row>
    <row r="281" spans="1:5">
      <c r="A281" s="12"/>
      <c r="B281" s="12"/>
      <c r="C281" s="12"/>
      <c r="D281" s="12"/>
      <c r="E281" s="12"/>
    </row>
    <row r="282" spans="1:5">
      <c r="A282" s="12" t="s">
        <v>489</v>
      </c>
      <c r="B282" s="13" t="e">
        <f>'APPENDIX A FOR INPUT'!#REF!</f>
        <v>#REF!</v>
      </c>
      <c r="C282" s="13" t="e">
        <f>'APPENDIX A FOR INPUT'!#REF!</f>
        <v>#REF!</v>
      </c>
      <c r="D282" s="13" t="e">
        <f>'APPENDIX A FOR INPUT'!#REF!</f>
        <v>#REF!</v>
      </c>
      <c r="E282" s="13">
        <f>'APPENDIX A FOR INPUT'!F445</f>
        <v>4000</v>
      </c>
    </row>
    <row r="283" spans="1:5">
      <c r="A283" s="12" t="s">
        <v>474</v>
      </c>
      <c r="B283" s="13" t="e">
        <f>SUM(B281:B282)</f>
        <v>#REF!</v>
      </c>
      <c r="C283" s="13" t="e">
        <f>SUM(C281:C282)</f>
        <v>#REF!</v>
      </c>
      <c r="D283" s="13" t="e">
        <f>SUM(D281:D282)</f>
        <v>#REF!</v>
      </c>
      <c r="E283" s="13">
        <f>SUM(E281:E282)</f>
        <v>4000</v>
      </c>
    </row>
    <row r="284" spans="1:5">
      <c r="B284" s="16"/>
      <c r="C284" s="16"/>
      <c r="D284" s="16"/>
      <c r="E284" s="16"/>
    </row>
    <row r="285" spans="1:5" hidden="1"/>
    <row r="286" spans="1:5" ht="15.75" hidden="1">
      <c r="A286" s="9" t="str">
        <f>'[1]brd of health'!A1</f>
        <v>DEPARTMENT NAME</v>
      </c>
      <c r="B286" s="9" t="str">
        <f>'[1]brd of health'!C1</f>
        <v>BOARD OF HEALTH 5510</v>
      </c>
      <c r="C286" s="9"/>
      <c r="D286" s="9"/>
      <c r="E286" s="9"/>
    </row>
    <row r="287" spans="1:5" hidden="1"/>
    <row r="288" spans="1:5" hidden="1">
      <c r="B288" s="10" t="e">
        <f>'APPENDIX A FOR INPUT'!#REF!</f>
        <v>#REF!</v>
      </c>
      <c r="C288" s="10" t="e">
        <f>'APPENDIX A FOR INPUT'!#REF!</f>
        <v>#REF!</v>
      </c>
      <c r="D288" s="10" t="e">
        <f>'APPENDIX A FOR INPUT'!#REF!</f>
        <v>#REF!</v>
      </c>
      <c r="E288" s="10" t="e">
        <f>'APPENDIX A FOR INPUT'!#REF!</f>
        <v>#REF!</v>
      </c>
    </row>
    <row r="289" spans="1:5" hidden="1">
      <c r="B289" s="10" t="s">
        <v>481</v>
      </c>
      <c r="C289" s="10" t="s">
        <v>481</v>
      </c>
      <c r="D289" s="10" t="s">
        <v>481</v>
      </c>
      <c r="E289" s="10" t="s">
        <v>481</v>
      </c>
    </row>
    <row r="290" spans="1:5" hidden="1">
      <c r="A290" t="str">
        <f>'[1]brd of health'!B5</f>
        <v>ACCOUNT NAME</v>
      </c>
      <c r="B290" s="10" t="s">
        <v>495</v>
      </c>
      <c r="C290" s="10" t="s">
        <v>495</v>
      </c>
      <c r="D290" s="10" t="s">
        <v>495</v>
      </c>
      <c r="E290" s="10" t="s">
        <v>485</v>
      </c>
    </row>
    <row r="291" spans="1:5" hidden="1">
      <c r="A291" s="12"/>
      <c r="B291" s="12"/>
      <c r="C291" s="12"/>
      <c r="D291" s="12"/>
      <c r="E291" s="12"/>
    </row>
    <row r="292" spans="1:5" hidden="1">
      <c r="A292" s="12" t="s">
        <v>493</v>
      </c>
      <c r="B292" s="13" t="e">
        <f>SUM('APPENDIX A FOR INPUT'!#REF!)</f>
        <v>#REF!</v>
      </c>
      <c r="C292" s="13" t="e">
        <f>SUM('APPENDIX A FOR INPUT'!#REF!)</f>
        <v>#REF!</v>
      </c>
      <c r="D292" s="13" t="e">
        <f>SUM('APPENDIX A FOR INPUT'!#REF!)</f>
        <v>#REF!</v>
      </c>
      <c r="E292" s="13" t="e">
        <f>SUM('APPENDIX A FOR INPUT'!#REF!)</f>
        <v>#REF!</v>
      </c>
    </row>
    <row r="293" spans="1:5" hidden="1">
      <c r="A293" s="12" t="s">
        <v>489</v>
      </c>
      <c r="B293" s="13" t="e">
        <f>SUM('APPENDIX A FOR INPUT'!#REF!)</f>
        <v>#REF!</v>
      </c>
      <c r="C293" s="13" t="e">
        <f>SUM('APPENDIX A FOR INPUT'!#REF!)</f>
        <v>#REF!</v>
      </c>
      <c r="D293" s="13" t="e">
        <f>SUM('APPENDIX A FOR INPUT'!#REF!)</f>
        <v>#REF!</v>
      </c>
      <c r="E293" s="13" t="e">
        <f>SUM('APPENDIX A FOR INPUT'!#REF!)</f>
        <v>#REF!</v>
      </c>
    </row>
    <row r="294" spans="1:5" hidden="1">
      <c r="A294" s="12" t="s">
        <v>474</v>
      </c>
      <c r="B294" s="13" t="e">
        <f>SUM(B292:B293)</f>
        <v>#REF!</v>
      </c>
      <c r="C294" s="13" t="e">
        <f>SUM(C292:C293)</f>
        <v>#REF!</v>
      </c>
      <c r="D294" s="13" t="e">
        <f>SUM(D292:D293)</f>
        <v>#REF!</v>
      </c>
      <c r="E294" s="13" t="e">
        <f>SUM(E292:E293)</f>
        <v>#REF!</v>
      </c>
    </row>
    <row r="295" spans="1:5" hidden="1"/>
    <row r="296" spans="1:5" hidden="1"/>
    <row r="298" spans="1:5" ht="15.75">
      <c r="A298" s="9" t="s">
        <v>487</v>
      </c>
      <c r="B298" s="9" t="str">
        <f>'APPENDIX A FOR INPUT'!C449</f>
        <v>CEMETERY</v>
      </c>
      <c r="C298" s="9"/>
      <c r="D298" s="9"/>
      <c r="E298" s="9"/>
    </row>
    <row r="299" spans="1:5">
      <c r="A299" t="s">
        <v>488</v>
      </c>
      <c r="B299" s="10"/>
      <c r="C299" s="11" t="e">
        <f>'APPENDIX A FOR INPUT'!#REF!</f>
        <v>#REF!</v>
      </c>
      <c r="D299" s="10"/>
      <c r="E299" s="10"/>
    </row>
    <row r="300" spans="1:5">
      <c r="A300" s="12"/>
      <c r="B300" s="12"/>
      <c r="C300" s="12"/>
      <c r="D300" s="12"/>
      <c r="E300" s="12"/>
    </row>
    <row r="301" spans="1:5">
      <c r="A301" s="12" t="s">
        <v>493</v>
      </c>
      <c r="B301" s="13">
        <f>'APPENDIX A FOR INPUT'!E450</f>
        <v>600</v>
      </c>
      <c r="C301" s="13" t="e">
        <f>'APPENDIX A FOR INPUT'!#REF!</f>
        <v>#REF!</v>
      </c>
      <c r="D301" s="13" t="e">
        <f>'APPENDIX A FOR INPUT'!#REF!</f>
        <v>#REF!</v>
      </c>
      <c r="E301" s="13">
        <f>'APPENDIX A FOR INPUT'!F450</f>
        <v>600</v>
      </c>
    </row>
    <row r="302" spans="1:5">
      <c r="A302" s="12" t="s">
        <v>489</v>
      </c>
      <c r="B302" s="13">
        <f>SUM('APPENDIX A FOR INPUT'!E451:E455)</f>
        <v>8500</v>
      </c>
      <c r="C302" s="13" t="e">
        <f>SUM('APPENDIX A FOR INPUT'!#REF!)</f>
        <v>#REF!</v>
      </c>
      <c r="D302" s="13" t="e">
        <f>SUM('APPENDIX A FOR INPUT'!#REF!)</f>
        <v>#REF!</v>
      </c>
      <c r="E302" s="13">
        <f>SUM('APPENDIX A FOR INPUT'!F451:F455)</f>
        <v>3000</v>
      </c>
    </row>
    <row r="303" spans="1:5">
      <c r="A303" s="12" t="s">
        <v>474</v>
      </c>
      <c r="B303" s="13">
        <f>SUM(B301:B302)</f>
        <v>9100</v>
      </c>
      <c r="C303" s="13" t="e">
        <f>SUM(C301:C302)</f>
        <v>#REF!</v>
      </c>
      <c r="D303" s="13" t="e">
        <f>SUM(D301:D302)</f>
        <v>#REF!</v>
      </c>
      <c r="E303" s="13">
        <f>SUM(E301:E302)</f>
        <v>3600</v>
      </c>
    </row>
    <row r="306" spans="1:5" ht="15.75">
      <c r="A306" s="9" t="s">
        <v>487</v>
      </c>
      <c r="B306" s="9" t="str">
        <f>'APPENDIX A FOR INPUT'!C459</f>
        <v>HEALTH DEPARTMENT</v>
      </c>
      <c r="C306" s="9"/>
      <c r="D306" s="9"/>
      <c r="E306" s="9"/>
    </row>
    <row r="307" spans="1:5">
      <c r="A307" t="s">
        <v>488</v>
      </c>
      <c r="B307" s="10"/>
      <c r="C307" s="11" t="e">
        <f>'APPENDIX A FOR INPUT'!#REF!</f>
        <v>#REF!</v>
      </c>
      <c r="D307" s="10"/>
      <c r="E307" s="10"/>
    </row>
    <row r="308" spans="1:5">
      <c r="A308" s="12"/>
      <c r="B308" s="12"/>
      <c r="C308" s="12"/>
      <c r="D308" s="12"/>
      <c r="E308" s="12"/>
    </row>
    <row r="309" spans="1:5">
      <c r="A309" s="12" t="s">
        <v>492</v>
      </c>
      <c r="B309" s="13">
        <f>SUM('APPENDIX A FOR INPUT'!E460:E460)</f>
        <v>3000</v>
      </c>
      <c r="C309" s="13" t="e">
        <f>SUM('APPENDIX A FOR INPUT'!#REF!)</f>
        <v>#REF!</v>
      </c>
      <c r="D309" s="13" t="e">
        <f>SUM('APPENDIX A FOR INPUT'!#REF!)</f>
        <v>#REF!</v>
      </c>
      <c r="E309" s="13">
        <f>SUM('APPENDIX A FOR INPUT'!F460:F460)</f>
        <v>0</v>
      </c>
    </row>
    <row r="310" spans="1:5">
      <c r="A310" s="12" t="s">
        <v>494</v>
      </c>
      <c r="B310" s="13" t="e">
        <f>'APPENDIX A FOR INPUT'!#REF!</f>
        <v>#REF!</v>
      </c>
      <c r="C310" s="13" t="e">
        <f>'APPENDIX A FOR INPUT'!#REF!</f>
        <v>#REF!</v>
      </c>
      <c r="D310" s="13" t="e">
        <f>'APPENDIX A FOR INPUT'!#REF!</f>
        <v>#REF!</v>
      </c>
      <c r="E310" s="13">
        <f>'APPENDIX A FOR INPUT'!F461</f>
        <v>0</v>
      </c>
    </row>
    <row r="311" spans="1:5">
      <c r="A311" s="12" t="s">
        <v>474</v>
      </c>
      <c r="B311" s="13" t="e">
        <f>SUM(B309:B310)</f>
        <v>#REF!</v>
      </c>
      <c r="C311" s="13" t="e">
        <f>SUM(C309:C310)</f>
        <v>#REF!</v>
      </c>
      <c r="D311" s="13" t="e">
        <f>SUM(D309:D310)</f>
        <v>#REF!</v>
      </c>
      <c r="E311" s="13">
        <f>SUM(E309:E310)</f>
        <v>0</v>
      </c>
    </row>
    <row r="314" spans="1:5" ht="15.75">
      <c r="A314" s="9" t="s">
        <v>487</v>
      </c>
      <c r="B314" s="9" t="str">
        <f>'APPENDIX A FOR INPUT'!C465</f>
        <v>COUNCIL ON  AGING</v>
      </c>
      <c r="C314" s="9"/>
      <c r="D314" s="9"/>
      <c r="E314" s="9"/>
    </row>
    <row r="315" spans="1:5">
      <c r="A315" t="s">
        <v>488</v>
      </c>
      <c r="B315" s="10"/>
      <c r="C315" s="11" t="e">
        <f>'APPENDIX A FOR INPUT'!#REF!</f>
        <v>#REF!</v>
      </c>
      <c r="D315" s="10"/>
      <c r="E315" s="10"/>
    </row>
    <row r="316" spans="1:5">
      <c r="A316" s="12"/>
      <c r="B316" s="12"/>
      <c r="C316" s="12"/>
      <c r="D316" s="12"/>
      <c r="E316" s="12"/>
    </row>
    <row r="317" spans="1:5">
      <c r="A317" s="12" t="s">
        <v>493</v>
      </c>
      <c r="B317" s="13">
        <f>SUM('APPENDIX A FOR INPUT'!E466:E466)</f>
        <v>31954</v>
      </c>
      <c r="C317" s="13" t="e">
        <f>SUM('APPENDIX A FOR INPUT'!#REF!)</f>
        <v>#REF!</v>
      </c>
      <c r="D317" s="13">
        <v>44770</v>
      </c>
      <c r="E317" s="13">
        <f>SUM('APPENDIX A FOR INPUT'!F466:F466)</f>
        <v>34034</v>
      </c>
    </row>
    <row r="318" spans="1:5">
      <c r="A318" s="12" t="s">
        <v>489</v>
      </c>
      <c r="B318" s="13">
        <f>SUM('APPENDIX A FOR INPUT'!E468:E475)</f>
        <v>10115</v>
      </c>
      <c r="C318" s="13" t="e">
        <f>SUM('APPENDIX A FOR INPUT'!#REF!)</f>
        <v>#REF!</v>
      </c>
      <c r="D318" s="13" t="e">
        <f>SUM('APPENDIX A FOR INPUT'!#REF!)</f>
        <v>#REF!</v>
      </c>
      <c r="E318" s="13">
        <f>SUM('APPENDIX A FOR INPUT'!F468:F475)</f>
        <v>10115</v>
      </c>
    </row>
    <row r="319" spans="1:5">
      <c r="A319" s="12" t="s">
        <v>494</v>
      </c>
      <c r="B319" s="13" t="e">
        <f>'APPENDIX A FOR INPUT'!#REF!</f>
        <v>#REF!</v>
      </c>
      <c r="C319" s="13" t="e">
        <f>'APPENDIX A FOR INPUT'!#REF!</f>
        <v>#REF!</v>
      </c>
      <c r="D319" s="13" t="e">
        <f>'APPENDIX A FOR INPUT'!#REF!</f>
        <v>#REF!</v>
      </c>
      <c r="E319" s="13">
        <f>'APPENDIX A FOR INPUT'!F476</f>
        <v>0</v>
      </c>
    </row>
    <row r="320" spans="1:5">
      <c r="A320" s="12" t="s">
        <v>474</v>
      </c>
      <c r="B320" s="13" t="e">
        <f>SUM(B317:B319)</f>
        <v>#REF!</v>
      </c>
      <c r="C320" s="13" t="e">
        <f>SUM(C317:C318)</f>
        <v>#REF!</v>
      </c>
      <c r="D320" s="13" t="e">
        <f>SUM(D317:D319)</f>
        <v>#REF!</v>
      </c>
      <c r="E320" s="13">
        <f>SUM(E317:E319)</f>
        <v>44149</v>
      </c>
    </row>
    <row r="323" spans="1:5" ht="15.75">
      <c r="A323" s="9" t="s">
        <v>487</v>
      </c>
      <c r="B323" s="9" t="str">
        <f>'APPENDIX A FOR INPUT'!C480</f>
        <v>VETERANS DEPARTMENT</v>
      </c>
      <c r="C323" s="9"/>
      <c r="D323" s="9"/>
      <c r="E323" s="9"/>
    </row>
    <row r="324" spans="1:5">
      <c r="A324" t="s">
        <v>488</v>
      </c>
      <c r="B324" s="10"/>
      <c r="C324" s="11" t="e">
        <f>'APPENDIX A FOR INPUT'!#REF!</f>
        <v>#REF!</v>
      </c>
      <c r="D324" s="10"/>
      <c r="E324" s="10"/>
    </row>
    <row r="325" spans="1:5">
      <c r="A325" s="12"/>
      <c r="B325" s="12"/>
      <c r="C325" s="12"/>
      <c r="D325" s="12"/>
      <c r="E325" s="12"/>
    </row>
    <row r="326" spans="1:5">
      <c r="A326" s="12" t="s">
        <v>493</v>
      </c>
      <c r="B326" s="13" t="e">
        <f>'APPENDIX A FOR INPUT'!#REF!</f>
        <v>#REF!</v>
      </c>
      <c r="C326" s="13" t="e">
        <f>'APPENDIX A FOR INPUT'!#REF!</f>
        <v>#REF!</v>
      </c>
      <c r="D326" s="13" t="e">
        <f>'APPENDIX A FOR INPUT'!#REF!</f>
        <v>#REF!</v>
      </c>
      <c r="E326" s="13">
        <f>'APPENDIX A FOR INPUT'!F481</f>
        <v>8487</v>
      </c>
    </row>
    <row r="327" spans="1:5">
      <c r="A327" s="12" t="s">
        <v>489</v>
      </c>
      <c r="B327" s="13" t="e">
        <f>SUM('APPENDIX A FOR INPUT'!#REF!)</f>
        <v>#REF!</v>
      </c>
      <c r="C327" s="13" t="e">
        <f>SUM('APPENDIX A FOR INPUT'!#REF!)</f>
        <v>#REF!</v>
      </c>
      <c r="D327" s="13" t="e">
        <f>SUM('APPENDIX A FOR INPUT'!#REF!)</f>
        <v>#REF!</v>
      </c>
      <c r="E327" s="13">
        <f>SUM('APPENDIX A FOR INPUT'!F482:F485)</f>
        <v>4200</v>
      </c>
    </row>
    <row r="328" spans="1:5">
      <c r="A328" s="12" t="s">
        <v>23</v>
      </c>
      <c r="B328" s="13" t="e">
        <f>'APPENDIX A FOR INPUT'!#REF!</f>
        <v>#REF!</v>
      </c>
      <c r="C328" s="13" t="e">
        <f>'APPENDIX A FOR INPUT'!#REF!</f>
        <v>#REF!</v>
      </c>
      <c r="D328" s="13" t="e">
        <f>'APPENDIX A FOR INPUT'!#REF!</f>
        <v>#REF!</v>
      </c>
      <c r="E328" s="13">
        <f>'APPENDIX A FOR INPUT'!F486</f>
        <v>40000</v>
      </c>
    </row>
    <row r="329" spans="1:5">
      <c r="A329" s="12" t="s">
        <v>474</v>
      </c>
      <c r="B329" s="13" t="e">
        <f>SUM(B326:B328)</f>
        <v>#REF!</v>
      </c>
      <c r="C329" s="13" t="e">
        <f>SUM(C326:C328)</f>
        <v>#REF!</v>
      </c>
      <c r="D329" s="13" t="e">
        <f>SUM(D326:D328)</f>
        <v>#REF!</v>
      </c>
      <c r="E329" s="13">
        <f>SUM(E326:E328)</f>
        <v>52687</v>
      </c>
    </row>
    <row r="332" spans="1:5" ht="15.75">
      <c r="A332" s="9" t="s">
        <v>487</v>
      </c>
      <c r="B332" s="9" t="str">
        <f>'APPENDIX A FOR INPUT'!C490</f>
        <v>LIBRARY DEPARTMENT</v>
      </c>
      <c r="C332" s="9"/>
      <c r="D332" s="9"/>
      <c r="E332" s="9"/>
    </row>
    <row r="333" spans="1:5">
      <c r="A333" t="s">
        <v>488</v>
      </c>
      <c r="B333" s="10"/>
      <c r="C333" s="11" t="e">
        <f>'APPENDIX A FOR INPUT'!#REF!</f>
        <v>#REF!</v>
      </c>
      <c r="D333" s="10"/>
      <c r="E333" s="10"/>
    </row>
    <row r="334" spans="1:5">
      <c r="A334" s="12"/>
      <c r="B334" s="12"/>
      <c r="C334" s="12"/>
      <c r="D334" s="12"/>
      <c r="E334" s="12"/>
    </row>
    <row r="335" spans="1:5">
      <c r="A335" s="12" t="s">
        <v>493</v>
      </c>
      <c r="B335" s="13">
        <f>SUM('APPENDIX A FOR INPUT'!E491:E496)</f>
        <v>134152</v>
      </c>
      <c r="C335" s="13" t="e">
        <f>SUM('APPENDIX A FOR INPUT'!#REF!)</f>
        <v>#REF!</v>
      </c>
      <c r="D335" s="13">
        <v>140055</v>
      </c>
      <c r="E335" s="13">
        <f>SUM('APPENDIX A FOR INPUT'!F491:F496)</f>
        <v>140411</v>
      </c>
    </row>
    <row r="336" spans="1:5">
      <c r="A336" s="12" t="s">
        <v>489</v>
      </c>
      <c r="B336" s="13">
        <f>SUM('APPENDIX A FOR INPUT'!E497:E510)</f>
        <v>40132</v>
      </c>
      <c r="C336" s="13" t="e">
        <f>SUM('APPENDIX A FOR INPUT'!#REF!)</f>
        <v>#REF!</v>
      </c>
      <c r="D336" s="13">
        <v>48547</v>
      </c>
      <c r="E336" s="13">
        <f>SUM('APPENDIX A FOR INPUT'!F497:F511)</f>
        <v>33873</v>
      </c>
    </row>
    <row r="337" spans="1:5">
      <c r="A337" s="12" t="s">
        <v>494</v>
      </c>
      <c r="B337" s="13" t="e">
        <f>'APPENDIX A FOR INPUT'!#REF!</f>
        <v>#REF!</v>
      </c>
      <c r="C337" s="13" t="e">
        <f>'APPENDIX A FOR INPUT'!#REF!</f>
        <v>#REF!</v>
      </c>
      <c r="D337" s="13" t="e">
        <f>'APPENDIX A FOR INPUT'!#REF!</f>
        <v>#REF!</v>
      </c>
      <c r="E337" s="13">
        <f>'APPENDIX A FOR INPUT'!F511</f>
        <v>0</v>
      </c>
    </row>
    <row r="338" spans="1:5">
      <c r="A338" s="12" t="s">
        <v>474</v>
      </c>
      <c r="B338" s="13" t="e">
        <f>SUM(B335:B337)</f>
        <v>#REF!</v>
      </c>
      <c r="C338" s="13" t="e">
        <f>SUM(C335:C337)</f>
        <v>#REF!</v>
      </c>
      <c r="D338" s="13" t="e">
        <f>SUM(D335:D337)</f>
        <v>#REF!</v>
      </c>
      <c r="E338" s="13">
        <f>SUM(E335:E337)</f>
        <v>174284</v>
      </c>
    </row>
    <row r="340" spans="1:5" hidden="1"/>
    <row r="341" spans="1:5" ht="15.75" hidden="1">
      <c r="A341" s="9" t="str">
        <f>'[1]historical comm'!A1</f>
        <v>DEPARTMENT NAME</v>
      </c>
      <c r="B341" s="9" t="str">
        <f>'[1]historical comm'!C1</f>
        <v>HISTORICAL COMMISSION 6691</v>
      </c>
      <c r="C341" s="9"/>
      <c r="D341" s="9"/>
      <c r="E341" s="9"/>
    </row>
    <row r="342" spans="1:5" hidden="1"/>
    <row r="343" spans="1:5" hidden="1">
      <c r="B343" s="10" t="e">
        <f>'APPENDIX A FOR INPUT'!#REF!</f>
        <v>#REF!</v>
      </c>
      <c r="C343" s="10" t="e">
        <f>'APPENDIX A FOR INPUT'!#REF!</f>
        <v>#REF!</v>
      </c>
      <c r="D343" s="10" t="e">
        <f>'APPENDIX A FOR INPUT'!#REF!</f>
        <v>#REF!</v>
      </c>
      <c r="E343" s="10" t="e">
        <f>'APPENDIX A FOR INPUT'!#REF!</f>
        <v>#REF!</v>
      </c>
    </row>
    <row r="344" spans="1:5" hidden="1">
      <c r="B344" s="10" t="s">
        <v>481</v>
      </c>
      <c r="C344" s="10" t="s">
        <v>481</v>
      </c>
      <c r="D344" s="10" t="s">
        <v>481</v>
      </c>
      <c r="E344" s="10" t="s">
        <v>481</v>
      </c>
    </row>
    <row r="345" spans="1:5" hidden="1">
      <c r="A345" t="str">
        <f>'[1]historical comm'!B5</f>
        <v>ACCOUNT NAME</v>
      </c>
      <c r="B345" s="10" t="s">
        <v>495</v>
      </c>
      <c r="C345" s="10" t="s">
        <v>495</v>
      </c>
      <c r="D345" s="10" t="s">
        <v>495</v>
      </c>
      <c r="E345" s="10" t="s">
        <v>485</v>
      </c>
    </row>
    <row r="346" spans="1:5" hidden="1">
      <c r="A346" s="12"/>
      <c r="B346" s="12"/>
      <c r="C346" s="12"/>
      <c r="D346" s="12"/>
      <c r="E346" s="12"/>
    </row>
    <row r="347" spans="1:5" hidden="1">
      <c r="A347" s="12" t="s">
        <v>489</v>
      </c>
      <c r="B347" s="13" t="e">
        <f>SUM('APPENDIX A FOR INPUT'!#REF!)</f>
        <v>#REF!</v>
      </c>
      <c r="C347" s="13" t="e">
        <f>SUM('APPENDIX A FOR INPUT'!#REF!)</f>
        <v>#REF!</v>
      </c>
      <c r="D347" s="13" t="e">
        <f>SUM('APPENDIX A FOR INPUT'!#REF!)</f>
        <v>#REF!</v>
      </c>
      <c r="E347" s="13" t="e">
        <f>SUM('APPENDIX A FOR INPUT'!#REF!)</f>
        <v>#REF!</v>
      </c>
    </row>
    <row r="348" spans="1:5" hidden="1">
      <c r="A348" s="12" t="s">
        <v>474</v>
      </c>
      <c r="B348" s="13" t="e">
        <f>SUM(B347:B347)</f>
        <v>#REF!</v>
      </c>
      <c r="C348" s="13" t="e">
        <f>SUM(C347:C347)</f>
        <v>#REF!</v>
      </c>
      <c r="D348" s="13" t="e">
        <f>SUM(D347:D347)</f>
        <v>#REF!</v>
      </c>
      <c r="E348" s="13" t="e">
        <f>SUM(E347:E347)</f>
        <v>#REF!</v>
      </c>
    </row>
    <row r="349" spans="1:5" hidden="1"/>
    <row r="351" spans="1:5" ht="15.75">
      <c r="A351" s="9" t="str">
        <f>[1]celebrations!A1</f>
        <v>DEPARTMENT NAME</v>
      </c>
      <c r="B351" s="9" t="str">
        <f>[1]celebrations!C1</f>
        <v>CELEBRATIONS 6692</v>
      </c>
      <c r="C351" s="9"/>
      <c r="D351" s="9"/>
      <c r="E351" s="9"/>
    </row>
    <row r="353" spans="1:5" hidden="1">
      <c r="B353" s="10" t="e">
        <f>'APPENDIX A FOR INPUT'!#REF!</f>
        <v>#REF!</v>
      </c>
      <c r="C353" s="10" t="e">
        <f>'APPENDIX A FOR INPUT'!#REF!</f>
        <v>#REF!</v>
      </c>
      <c r="D353" s="10" t="e">
        <f>'APPENDIX A FOR INPUT'!#REF!</f>
        <v>#REF!</v>
      </c>
      <c r="E353" s="10" t="e">
        <f>'APPENDIX A FOR INPUT'!#REF!</f>
        <v>#REF!</v>
      </c>
    </row>
    <row r="354" spans="1:5">
      <c r="B354" s="10" t="s">
        <v>481</v>
      </c>
      <c r="C354" s="10" t="s">
        <v>481</v>
      </c>
      <c r="D354" s="10" t="s">
        <v>481</v>
      </c>
      <c r="E354" s="10" t="s">
        <v>481</v>
      </c>
    </row>
    <row r="355" spans="1:5">
      <c r="A355" t="str">
        <f>[1]celebrations!B5</f>
        <v>ACCOUNT NAME</v>
      </c>
      <c r="B355" s="10" t="s">
        <v>495</v>
      </c>
      <c r="C355" s="10" t="s">
        <v>495</v>
      </c>
      <c r="D355" s="10" t="s">
        <v>495</v>
      </c>
      <c r="E355" s="10" t="s">
        <v>485</v>
      </c>
    </row>
    <row r="356" spans="1:5">
      <c r="A356" s="12"/>
      <c r="B356" s="12"/>
      <c r="C356" s="12"/>
      <c r="D356" s="12"/>
      <c r="E356" s="12"/>
    </row>
    <row r="357" spans="1:5" hidden="1">
      <c r="A357" s="12" t="s">
        <v>493</v>
      </c>
      <c r="B357" s="13" t="e">
        <f>SUM('APPENDIX A FOR INPUT'!#REF!)</f>
        <v>#REF!</v>
      </c>
      <c r="C357" s="13" t="e">
        <f>SUM('APPENDIX A FOR INPUT'!#REF!)</f>
        <v>#REF!</v>
      </c>
      <c r="D357" s="13" t="e">
        <f>SUM('APPENDIX A FOR INPUT'!#REF!)</f>
        <v>#REF!</v>
      </c>
      <c r="E357" s="13" t="e">
        <f>SUM('APPENDIX A FOR INPUT'!#REF!)</f>
        <v>#REF!</v>
      </c>
    </row>
    <row r="358" spans="1:5">
      <c r="A358" s="12" t="s">
        <v>489</v>
      </c>
      <c r="B358" s="13">
        <f>SUM('APPENDIX A FOR INPUT'!E532)</f>
        <v>1500</v>
      </c>
      <c r="C358" s="13" t="e">
        <f>SUM('APPENDIX A FOR INPUT'!#REF!)</f>
        <v>#REF!</v>
      </c>
      <c r="D358" s="13" t="e">
        <f>SUM('APPENDIX A FOR INPUT'!#REF!)</f>
        <v>#REF!</v>
      </c>
      <c r="E358" s="13">
        <f>SUM('APPENDIX A FOR INPUT'!F530)</f>
        <v>0</v>
      </c>
    </row>
    <row r="359" spans="1:5">
      <c r="A359" s="12" t="s">
        <v>474</v>
      </c>
      <c r="B359" s="13">
        <f>SUM(B358)</f>
        <v>1500</v>
      </c>
      <c r="C359" s="13" t="e">
        <f>SUM(C357:C358)</f>
        <v>#REF!</v>
      </c>
      <c r="D359" s="13" t="e">
        <f>SUM(D358)</f>
        <v>#REF!</v>
      </c>
      <c r="E359" s="13">
        <f>SUM(E358)</f>
        <v>0</v>
      </c>
    </row>
    <row r="362" spans="1:5" ht="15.75">
      <c r="A362" s="9" t="s">
        <v>487</v>
      </c>
      <c r="B362" s="9" t="str">
        <f>'APPENDIX A FOR INPUT'!C514</f>
        <v>HISTORICAL COMMISSION</v>
      </c>
      <c r="C362" s="9"/>
      <c r="D362" s="9"/>
      <c r="E362" s="9"/>
    </row>
    <row r="363" spans="1:5">
      <c r="A363" t="s">
        <v>488</v>
      </c>
      <c r="B363" s="10"/>
      <c r="C363" s="11" t="e">
        <f>'APPENDIX A FOR INPUT'!#REF!</f>
        <v>#REF!</v>
      </c>
      <c r="D363" s="10"/>
      <c r="E363" s="10"/>
    </row>
    <row r="364" spans="1:5">
      <c r="A364" s="12"/>
      <c r="B364" s="12"/>
      <c r="C364" s="12"/>
      <c r="D364" s="12"/>
      <c r="E364" s="12"/>
    </row>
    <row r="365" spans="1:5">
      <c r="A365" s="12" t="s">
        <v>489</v>
      </c>
      <c r="B365" s="13">
        <f>SUM('APPENDIX A FOR INPUT'!E515:E522)</f>
        <v>200</v>
      </c>
      <c r="C365" s="13" t="e">
        <f>SUM('APPENDIX A FOR INPUT'!#REF!)</f>
        <v>#REF!</v>
      </c>
      <c r="D365" s="13" t="e">
        <f>SUM('APPENDIX A FOR INPUT'!#REF!)</f>
        <v>#REF!</v>
      </c>
      <c r="E365" s="13">
        <f>SUM('APPENDIX A FOR INPUT'!F515:F522)</f>
        <v>0</v>
      </c>
    </row>
    <row r="366" spans="1:5">
      <c r="A366" s="12" t="s">
        <v>474</v>
      </c>
      <c r="B366" s="13">
        <f>SUM(B365:B365)</f>
        <v>200</v>
      </c>
      <c r="C366" s="13" t="e">
        <f>SUM(C365:C365)</f>
        <v>#REF!</v>
      </c>
      <c r="D366" s="13" t="e">
        <f>SUM(D365:D365)</f>
        <v>#REF!</v>
      </c>
      <c r="E366" s="13">
        <f>SUM(E365:E365)</f>
        <v>0</v>
      </c>
    </row>
    <row r="368" spans="1:5" hidden="1"/>
    <row r="369" spans="1:5" ht="15.75" hidden="1">
      <c r="A369" s="9" t="str">
        <f>[1]pensions!A1</f>
        <v>DEPARTMENT NAME</v>
      </c>
      <c r="B369" s="9" t="str">
        <f>[1]pensions!C1</f>
        <v>PENSIONS 1911</v>
      </c>
      <c r="C369" s="9"/>
      <c r="D369" s="9"/>
      <c r="E369" s="9"/>
    </row>
    <row r="370" spans="1:5" hidden="1"/>
    <row r="371" spans="1:5" hidden="1">
      <c r="B371" s="10" t="e">
        <f>'APPENDIX A FOR INPUT'!#REF!</f>
        <v>#REF!</v>
      </c>
      <c r="C371" s="10" t="e">
        <f>'APPENDIX A FOR INPUT'!#REF!</f>
        <v>#REF!</v>
      </c>
      <c r="D371" s="10" t="e">
        <f>'APPENDIX A FOR INPUT'!#REF!</f>
        <v>#REF!</v>
      </c>
      <c r="E371" s="10" t="e">
        <f>'APPENDIX A FOR INPUT'!#REF!</f>
        <v>#REF!</v>
      </c>
    </row>
    <row r="372" spans="1:5" hidden="1">
      <c r="B372" s="10" t="s">
        <v>481</v>
      </c>
      <c r="C372" s="10" t="s">
        <v>481</v>
      </c>
      <c r="D372" s="10" t="s">
        <v>481</v>
      </c>
      <c r="E372" s="10" t="s">
        <v>481</v>
      </c>
    </row>
    <row r="373" spans="1:5" hidden="1">
      <c r="A373" t="str">
        <f>[1]pensions!B5</f>
        <v>ACCOUNT NAME</v>
      </c>
      <c r="B373" s="10" t="s">
        <v>495</v>
      </c>
      <c r="C373" s="10" t="s">
        <v>495</v>
      </c>
      <c r="D373" s="10" t="s">
        <v>495</v>
      </c>
      <c r="E373" s="10" t="s">
        <v>485</v>
      </c>
    </row>
    <row r="374" spans="1:5" hidden="1">
      <c r="A374" s="12"/>
      <c r="B374" s="12"/>
      <c r="C374" s="12"/>
      <c r="D374" s="12"/>
      <c r="E374" s="12"/>
    </row>
    <row r="375" spans="1:5" hidden="1">
      <c r="A375" s="12" t="s">
        <v>489</v>
      </c>
      <c r="B375" s="13" t="e">
        <f>SUM('APPENDIX A FOR INPUT'!#REF!)</f>
        <v>#REF!</v>
      </c>
      <c r="C375" s="13" t="e">
        <f>SUM('APPENDIX A FOR INPUT'!#REF!)</f>
        <v>#REF!</v>
      </c>
      <c r="D375" s="13" t="e">
        <f>SUM('APPENDIX A FOR INPUT'!#REF!)</f>
        <v>#REF!</v>
      </c>
      <c r="E375" s="13" t="e">
        <f>SUM('APPENDIX A FOR INPUT'!#REF!)</f>
        <v>#REF!</v>
      </c>
    </row>
    <row r="376" spans="1:5" hidden="1">
      <c r="A376" s="12" t="s">
        <v>474</v>
      </c>
      <c r="B376" s="13" t="e">
        <f>SUM(B375:B375)</f>
        <v>#REF!</v>
      </c>
      <c r="C376" s="13" t="e">
        <f>SUM(C375:C375)</f>
        <v>#REF!</v>
      </c>
      <c r="D376" s="13" t="e">
        <f>SUM(D375:D375)</f>
        <v>#REF!</v>
      </c>
      <c r="E376" s="13" t="e">
        <f>SUM(E375:E375)</f>
        <v>#REF!</v>
      </c>
    </row>
    <row r="377" spans="1:5" hidden="1"/>
    <row r="379" spans="1:5" ht="15.75">
      <c r="A379" s="9" t="s">
        <v>487</v>
      </c>
      <c r="B379" s="9" t="str">
        <f>'APPENDIX A FOR INPUT'!C375</f>
        <v>MISCELLANEOUS</v>
      </c>
      <c r="C379" s="9"/>
      <c r="D379" s="9"/>
      <c r="E379" s="9"/>
    </row>
    <row r="380" spans="1:5">
      <c r="A380" t="s">
        <v>488</v>
      </c>
      <c r="B380" s="10"/>
      <c r="C380" s="11" t="e">
        <f>'APPENDIX A FOR INPUT'!#REF!</f>
        <v>#REF!</v>
      </c>
      <c r="D380" s="10"/>
      <c r="E380" s="10"/>
    </row>
    <row r="381" spans="1:5">
      <c r="A381" s="12"/>
      <c r="B381" s="12"/>
      <c r="C381" s="12"/>
      <c r="D381" s="12"/>
      <c r="E381" s="12"/>
    </row>
    <row r="382" spans="1:5">
      <c r="A382" s="12" t="s">
        <v>498</v>
      </c>
      <c r="B382" s="13">
        <f>'APPENDIX A FOR INPUT'!E376</f>
        <v>100000</v>
      </c>
      <c r="C382" s="13" t="e">
        <f>'APPENDIX A FOR INPUT'!#REF!</f>
        <v>#REF!</v>
      </c>
      <c r="D382" s="13" t="e">
        <f>'APPENDIX A FOR INPUT'!#REF!</f>
        <v>#REF!</v>
      </c>
      <c r="E382" s="13">
        <f>'APPENDIX A FOR INPUT'!F376</f>
        <v>100000</v>
      </c>
    </row>
    <row r="383" spans="1:5">
      <c r="A383" s="4" t="s">
        <v>350</v>
      </c>
      <c r="B383" s="13">
        <f>'APPENDIX A FOR INPUT'!E377</f>
        <v>1399</v>
      </c>
      <c r="C383" s="13" t="e">
        <f>'APPENDIX A FOR INPUT'!#REF!</f>
        <v>#REF!</v>
      </c>
      <c r="D383" s="13">
        <v>1434</v>
      </c>
      <c r="E383" s="13">
        <f>'APPENDIX A FOR INPUT'!F377</f>
        <v>1433.97</v>
      </c>
    </row>
    <row r="384" spans="1:5">
      <c r="A384" s="4" t="s">
        <v>499</v>
      </c>
      <c r="B384" s="13">
        <f>'APPENDIX A FOR INPUT'!E380</f>
        <v>3000</v>
      </c>
      <c r="C384" s="13" t="e">
        <f>'APPENDIX A FOR INPUT'!#REF!</f>
        <v>#REF!</v>
      </c>
      <c r="D384" s="13" t="e">
        <f>'APPENDIX A FOR INPUT'!#REF!</f>
        <v>#REF!</v>
      </c>
      <c r="E384" s="13">
        <f>'APPENDIX A FOR INPUT'!F380</f>
        <v>3000</v>
      </c>
    </row>
    <row r="385" spans="1:5">
      <c r="A385" t="s">
        <v>500</v>
      </c>
      <c r="B385" s="215">
        <f>'APPENDIX A FOR INPUT'!E381</f>
        <v>20000</v>
      </c>
      <c r="C385" s="215" t="e">
        <f>'APPENDIX A FOR INPUT'!#REF!</f>
        <v>#REF!</v>
      </c>
      <c r="D385" s="215" t="e">
        <f>'APPENDIX A FOR INPUT'!#REF!</f>
        <v>#REF!</v>
      </c>
      <c r="E385" s="215">
        <f>'APPENDIX A FOR INPUT'!F381</f>
        <v>20000</v>
      </c>
    </row>
    <row r="386" spans="1:5">
      <c r="A386" s="4" t="s">
        <v>352</v>
      </c>
      <c r="B386" s="216">
        <f>SUM('APPENDIX A FOR INPUT'!E379)</f>
        <v>1000</v>
      </c>
      <c r="C386" s="216"/>
      <c r="D386" s="216">
        <v>25000</v>
      </c>
      <c r="E386" s="216">
        <f>SUM('APPENDIX A FOR INPUT'!F379)</f>
        <v>25000</v>
      </c>
    </row>
    <row r="387" spans="1:5">
      <c r="A387" s="213" t="s">
        <v>474</v>
      </c>
      <c r="B387" s="214">
        <f>SUM(B382:B386)</f>
        <v>125399</v>
      </c>
      <c r="C387" s="214" t="e">
        <f>SUM(C382:C384)</f>
        <v>#REF!</v>
      </c>
      <c r="D387" s="214" t="e">
        <f>SUM(D382:D386)</f>
        <v>#REF!</v>
      </c>
      <c r="E387" s="214">
        <f>SUM(E382:E386)</f>
        <v>149433.97</v>
      </c>
    </row>
    <row r="390" spans="1:5" ht="15.75">
      <c r="A390" s="9" t="s">
        <v>487</v>
      </c>
      <c r="B390" s="9" t="str">
        <f>'APPENDIX A FOR INPUT'!C191</f>
        <v>PENSIONS</v>
      </c>
      <c r="C390" s="9"/>
      <c r="D390" s="9"/>
      <c r="E390" s="9"/>
    </row>
    <row r="391" spans="1:5">
      <c r="A391" t="s">
        <v>488</v>
      </c>
      <c r="B391" s="10"/>
      <c r="C391" s="11" t="e">
        <f>'APPENDIX A FOR INPUT'!#REF!</f>
        <v>#REF!</v>
      </c>
      <c r="D391" s="10"/>
      <c r="E391" s="10"/>
    </row>
    <row r="392" spans="1:5">
      <c r="A392" s="12"/>
      <c r="B392" s="13"/>
      <c r="C392" s="13"/>
      <c r="D392" s="13"/>
      <c r="E392" s="13"/>
    </row>
    <row r="393" spans="1:5">
      <c r="A393" s="13" t="str">
        <f>'APPENDIX A FOR INPUT'!D192</f>
        <v xml:space="preserve">BRISTOL COUNTY RETIREMENT     </v>
      </c>
      <c r="B393" s="13">
        <f>'APPENDIX A FOR INPUT'!E192</f>
        <v>891595</v>
      </c>
      <c r="C393" s="13" t="e">
        <f>'APPENDIX A FOR INPUT'!#REF!</f>
        <v>#REF!</v>
      </c>
      <c r="D393" s="13">
        <v>1015532</v>
      </c>
      <c r="E393" s="13">
        <f>'APPENDIX A FOR INPUT'!F192</f>
        <v>1015532</v>
      </c>
    </row>
    <row r="394" spans="1:5">
      <c r="A394" s="13" t="str">
        <f>'APPENDIX A FOR INPUT'!D193</f>
        <v xml:space="preserve">MEDICARE                      </v>
      </c>
      <c r="B394" s="13">
        <f>'APPENDIX A FOR INPUT'!E193</f>
        <v>195000</v>
      </c>
      <c r="C394" s="13" t="e">
        <f>'APPENDIX A FOR INPUT'!#REF!</f>
        <v>#REF!</v>
      </c>
      <c r="D394" s="13">
        <v>200000</v>
      </c>
      <c r="E394" s="13">
        <f>'APPENDIX A FOR INPUT'!F193</f>
        <v>200000</v>
      </c>
    </row>
    <row r="395" spans="1:5">
      <c r="A395" s="12" t="s">
        <v>474</v>
      </c>
      <c r="B395" s="13">
        <f>SUM(B393:B394)</f>
        <v>1086595</v>
      </c>
      <c r="C395" s="13" t="e">
        <f>SUM(C393:C394)</f>
        <v>#REF!</v>
      </c>
      <c r="D395" s="13">
        <f>SUM(D393:D394)</f>
        <v>1215532</v>
      </c>
      <c r="E395" s="13">
        <f>SUM(E393:E394)</f>
        <v>1215532</v>
      </c>
    </row>
    <row r="398" spans="1:5" ht="15.75">
      <c r="A398" s="9" t="s">
        <v>487</v>
      </c>
      <c r="B398" s="9" t="str">
        <f>'APPENDIX A FOR INPUT'!C207</f>
        <v>HEALTH INSURANCE</v>
      </c>
      <c r="C398" s="9"/>
      <c r="D398" s="9"/>
      <c r="E398" s="9"/>
    </row>
    <row r="399" spans="1:5">
      <c r="A399" t="s">
        <v>488</v>
      </c>
      <c r="B399" s="10"/>
      <c r="C399" s="11" t="e">
        <f>'APPENDIX A FOR INPUT'!#REF!</f>
        <v>#REF!</v>
      </c>
      <c r="D399" s="10"/>
      <c r="E399" s="10"/>
    </row>
    <row r="400" spans="1:5">
      <c r="A400" s="12"/>
      <c r="B400" s="13"/>
      <c r="C400" s="13"/>
      <c r="D400" s="13"/>
      <c r="E400" s="13"/>
    </row>
    <row r="401" spans="1:5">
      <c r="A401" s="59" t="str">
        <f>'APPENDIX A FOR INPUT'!D208</f>
        <v>BLUE CROSS/ BLUE SHIELD HEALTH</v>
      </c>
      <c r="B401" s="13">
        <f>'APPENDIX A FOR INPUT'!E208</f>
        <v>476832.55650000001</v>
      </c>
      <c r="C401" s="13" t="e">
        <f>'APPENDIX A FOR INPUT'!#REF!</f>
        <v>#REF!</v>
      </c>
      <c r="D401" s="13">
        <f>546497</f>
        <v>546497</v>
      </c>
      <c r="E401" s="13">
        <f>'APPENDIX A FOR INPUT'!F208</f>
        <v>546496.97</v>
      </c>
    </row>
    <row r="402" spans="1:5">
      <c r="A402" s="59" t="str">
        <f>'APPENDIX A FOR INPUT'!D209</f>
        <v xml:space="preserve">FLEXIBLE BENEFIT PLAN         </v>
      </c>
      <c r="B402" s="13" t="e">
        <f>'APPENDIX A FOR INPUT'!#REF!</f>
        <v>#REF!</v>
      </c>
      <c r="C402" s="13" t="e">
        <f>'APPENDIX A FOR INPUT'!#REF!</f>
        <v>#REF!</v>
      </c>
      <c r="D402" s="13" t="e">
        <f>'APPENDIX A FOR INPUT'!#REF!</f>
        <v>#REF!</v>
      </c>
      <c r="E402" s="13">
        <f>'APPENDIX A FOR INPUT'!F209</f>
        <v>0</v>
      </c>
    </row>
    <row r="403" spans="1:5">
      <c r="A403" s="12" t="s">
        <v>474</v>
      </c>
      <c r="B403" s="13" t="e">
        <f>SUM(B401:B402)</f>
        <v>#REF!</v>
      </c>
      <c r="C403" s="13" t="e">
        <f>SUM(C401:C402)</f>
        <v>#REF!</v>
      </c>
      <c r="D403" s="13" t="e">
        <f>SUM(D401:D402)</f>
        <v>#REF!</v>
      </c>
      <c r="E403" s="13">
        <f>SUM(E401:E402)</f>
        <v>546496.97</v>
      </c>
    </row>
    <row r="406" spans="1:5" ht="15.75">
      <c r="A406" s="9" t="s">
        <v>487</v>
      </c>
      <c r="B406" s="9" t="str">
        <f>'APPENDIX A FOR INPUT'!C213</f>
        <v>LIABILITY INSURANCE</v>
      </c>
      <c r="C406" s="9"/>
      <c r="D406" s="9"/>
      <c r="E406" s="9"/>
    </row>
    <row r="407" spans="1:5">
      <c r="A407" t="s">
        <v>488</v>
      </c>
      <c r="B407" s="10"/>
      <c r="C407" s="11" t="e">
        <f>'APPENDIX A FOR INPUT'!#REF!</f>
        <v>#REF!</v>
      </c>
      <c r="D407" s="10"/>
      <c r="E407" s="10"/>
    </row>
    <row r="408" spans="1:5">
      <c r="A408" s="12"/>
      <c r="B408" s="13"/>
      <c r="C408" s="13"/>
      <c r="D408" s="13"/>
      <c r="E408" s="13"/>
    </row>
    <row r="409" spans="1:5">
      <c r="A409" s="59" t="str">
        <f>'APPENDIX A FOR INPUT'!D214</f>
        <v>INS. PR. DIS.-FIRE-POL. ACC. H</v>
      </c>
      <c r="B409" s="13">
        <f>'APPENDIX A FOR INPUT'!E214</f>
        <v>67556</v>
      </c>
      <c r="C409" s="13" t="e">
        <f>'APPENDIX A FOR INPUT'!#REF!</f>
        <v>#REF!</v>
      </c>
      <c r="D409" s="13">
        <v>69000</v>
      </c>
      <c r="E409" s="13">
        <f>'APPENDIX A FOR INPUT'!F214</f>
        <v>69000</v>
      </c>
    </row>
    <row r="410" spans="1:5">
      <c r="A410" s="59" t="str">
        <f>'APPENDIX A FOR INPUT'!D215</f>
        <v xml:space="preserve">LIABILITY INSURANCE           </v>
      </c>
      <c r="B410" s="13">
        <f>'APPENDIX A FOR INPUT'!E215</f>
        <v>84545</v>
      </c>
      <c r="C410" s="13" t="e">
        <f>'APPENDIX A FOR INPUT'!#REF!</f>
        <v>#REF!</v>
      </c>
      <c r="D410" s="13">
        <v>91515</v>
      </c>
      <c r="E410" s="13">
        <f>'APPENDIX A FOR INPUT'!F215</f>
        <v>91515</v>
      </c>
    </row>
    <row r="411" spans="1:5">
      <c r="A411" s="12" t="s">
        <v>474</v>
      </c>
      <c r="B411" s="13">
        <f>SUM(B409:B410)</f>
        <v>152101</v>
      </c>
      <c r="C411" s="13" t="e">
        <f>SUM(C409:C410)</f>
        <v>#REF!</v>
      </c>
      <c r="D411" s="13">
        <f>SUM(D409:D410)</f>
        <v>160515</v>
      </c>
      <c r="E411" s="13">
        <f>SUM(E409:E410)</f>
        <v>160515</v>
      </c>
    </row>
    <row r="414" spans="1:5" ht="15.75">
      <c r="A414" s="9" t="s">
        <v>487</v>
      </c>
      <c r="B414" s="9" t="str">
        <f>'APPENDIX A FOR INPUT'!C197</f>
        <v>WORKERS COMPENSATION</v>
      </c>
      <c r="C414" s="9"/>
      <c r="D414" s="9"/>
      <c r="E414" s="9"/>
    </row>
    <row r="415" spans="1:5">
      <c r="A415" t="s">
        <v>488</v>
      </c>
      <c r="B415" s="10"/>
      <c r="C415" s="11" t="e">
        <f>'APPENDIX A FOR INPUT'!#REF!</f>
        <v>#REF!</v>
      </c>
      <c r="D415" s="10"/>
      <c r="E415" s="10"/>
    </row>
    <row r="416" spans="1:5">
      <c r="A416" s="12"/>
      <c r="B416" s="13"/>
      <c r="C416" s="13"/>
      <c r="D416" s="13"/>
      <c r="E416" s="13"/>
    </row>
    <row r="417" spans="1:7">
      <c r="A417" s="59" t="str">
        <f>'APPENDIX A FOR INPUT'!D198</f>
        <v xml:space="preserve">FRINGE BENEFIT/CHARGES        </v>
      </c>
      <c r="B417" s="13">
        <f>'APPENDIX A FOR INPUT'!E198</f>
        <v>20000</v>
      </c>
      <c r="C417" s="13" t="e">
        <f>'APPENDIX A FOR INPUT'!#REF!</f>
        <v>#REF!</v>
      </c>
      <c r="D417" s="13">
        <v>21000</v>
      </c>
      <c r="E417" s="13">
        <f>'APPENDIX A FOR INPUT'!F198</f>
        <v>21000</v>
      </c>
    </row>
    <row r="418" spans="1:7">
      <c r="A418" s="12" t="s">
        <v>474</v>
      </c>
      <c r="B418" s="13">
        <f>SUM(B416:B417)</f>
        <v>20000</v>
      </c>
      <c r="C418" s="13" t="e">
        <f>SUM(C416:C417)</f>
        <v>#REF!</v>
      </c>
      <c r="D418" s="13">
        <f>SUM(D416:D417)</f>
        <v>21000</v>
      </c>
      <c r="E418" s="13">
        <f>SUM(E416:E417)</f>
        <v>21000</v>
      </c>
    </row>
    <row r="419" spans="1:7">
      <c r="B419" s="16"/>
      <c r="C419" s="16"/>
      <c r="D419" s="16"/>
      <c r="E419" s="16"/>
    </row>
    <row r="421" spans="1:7" ht="15.75">
      <c r="A421" s="9" t="s">
        <v>487</v>
      </c>
      <c r="B421" s="9" t="str">
        <f>'APPENDIX A FOR INPUT'!C202</f>
        <v>UNEMPLOYMENT COMPENSATION</v>
      </c>
      <c r="C421" s="9"/>
      <c r="D421" s="9"/>
      <c r="E421" s="9"/>
    </row>
    <row r="422" spans="1:7">
      <c r="A422" t="s">
        <v>488</v>
      </c>
      <c r="B422" s="10"/>
      <c r="C422" s="11" t="e">
        <f>'APPENDIX A FOR INPUT'!#REF!</f>
        <v>#REF!</v>
      </c>
      <c r="D422" s="10"/>
      <c r="E422" s="10"/>
    </row>
    <row r="423" spans="1:7">
      <c r="A423" s="12"/>
      <c r="B423" s="13"/>
      <c r="C423" s="13"/>
      <c r="D423" s="13"/>
      <c r="E423" s="13"/>
    </row>
    <row r="424" spans="1:7">
      <c r="A424" s="59" t="str">
        <f>'APPENDIX A FOR INPUT'!D203</f>
        <v xml:space="preserve">UNEMPLOYMENT INSURANCE        </v>
      </c>
      <c r="B424" s="13">
        <f>'APPENDIX A FOR INPUT'!E203</f>
        <v>75000</v>
      </c>
      <c r="C424" s="13" t="e">
        <f>'APPENDIX A FOR INPUT'!#REF!</f>
        <v>#REF!</v>
      </c>
      <c r="D424" s="13">
        <v>75000</v>
      </c>
      <c r="E424" s="13">
        <f>'APPENDIX A FOR INPUT'!F203</f>
        <v>60000</v>
      </c>
      <c r="G424" s="58">
        <f>+E425+E418+E411+E403+E395+E387+E366+E359+E338+E329+E320+E311+E303+E283+E276+E269+E251+E243+E223+E214+E205+E196+E187+E178+E170+E151+E121+E112+E102+E93+E86+E76+E66+E56+E45+E39+E30+E12</f>
        <v>7773634.0789999999</v>
      </c>
    </row>
    <row r="425" spans="1:7">
      <c r="A425" s="12" t="s">
        <v>474</v>
      </c>
      <c r="B425" s="13">
        <f>SUM(B423:B424)</f>
        <v>75000</v>
      </c>
      <c r="C425" s="13" t="e">
        <f>SUM(C423:C424)</f>
        <v>#REF!</v>
      </c>
      <c r="D425" s="13">
        <f>SUM(D423:D424)</f>
        <v>75000</v>
      </c>
      <c r="E425" s="13">
        <f>SUM(E423:E424)</f>
        <v>60000</v>
      </c>
    </row>
    <row r="426" spans="1:7">
      <c r="B426" s="16"/>
      <c r="C426" s="16"/>
      <c r="D426" s="16"/>
      <c r="E426" s="16"/>
    </row>
    <row r="427" spans="1:7">
      <c r="B427" s="16"/>
      <c r="C427" s="16"/>
      <c r="D427" s="16"/>
      <c r="E427" s="16"/>
    </row>
    <row r="428" spans="1:7" ht="15.75">
      <c r="A428" s="9" t="s">
        <v>487</v>
      </c>
      <c r="B428" s="9" t="str">
        <f>'APPENDIX A FOR INPUT'!C534</f>
        <v>RETIREMENT OF DEBT</v>
      </c>
      <c r="C428" s="9"/>
      <c r="D428" s="9"/>
      <c r="E428" s="9"/>
    </row>
    <row r="429" spans="1:7">
      <c r="A429" t="s">
        <v>488</v>
      </c>
      <c r="B429" s="10"/>
      <c r="C429" s="11" t="e">
        <f>'APPENDIX A FOR INPUT'!#REF!</f>
        <v>#REF!</v>
      </c>
      <c r="D429" s="10"/>
      <c r="E429" s="10"/>
    </row>
    <row r="430" spans="1:7">
      <c r="A430" s="4" t="s">
        <v>455</v>
      </c>
      <c r="B430" s="14">
        <f>'APPENDIX A FOR INPUT'!E537</f>
        <v>20434</v>
      </c>
      <c r="C430" s="14" t="e">
        <f>'APPENDIX A FOR INPUT'!#REF!</f>
        <v>#REF!</v>
      </c>
      <c r="D430" s="14">
        <v>18923</v>
      </c>
      <c r="E430" s="14">
        <f>'APPENDIX A FOR INPUT'!F537</f>
        <v>18923</v>
      </c>
    </row>
    <row r="431" spans="1:7">
      <c r="A431" s="4" t="s">
        <v>456</v>
      </c>
      <c r="B431" s="14">
        <f>'APPENDIX A FOR INPUT'!E538</f>
        <v>0</v>
      </c>
      <c r="C431" s="14" t="e">
        <f>'APPENDIX A FOR INPUT'!#REF!</f>
        <v>#REF!</v>
      </c>
      <c r="D431" s="14">
        <f>'APPENDIX A FOR INPUT'!H538</f>
        <v>675000</v>
      </c>
      <c r="E431" s="14">
        <f>'APPENDIX A FOR INPUT'!F538</f>
        <v>0</v>
      </c>
    </row>
    <row r="432" spans="1:7">
      <c r="A432" s="4" t="s">
        <v>457</v>
      </c>
      <c r="B432" s="14">
        <f>'APPENDIX A FOR INPUT'!E539</f>
        <v>250000</v>
      </c>
      <c r="C432" s="14" t="e">
        <f>'APPENDIX A FOR INPUT'!#REF!</f>
        <v>#REF!</v>
      </c>
      <c r="D432" s="14">
        <v>250000</v>
      </c>
      <c r="E432" s="14">
        <f>'APPENDIX A FOR INPUT'!F539</f>
        <v>250000</v>
      </c>
    </row>
    <row r="433" spans="1:5">
      <c r="A433" s="59" t="str">
        <f>'APPENDIX A FOR INPUT'!D535</f>
        <v>TOWN OFFICE BLDG</v>
      </c>
      <c r="B433" s="14">
        <f>'APPENDIX A FOR INPUT'!E535</f>
        <v>170000</v>
      </c>
      <c r="C433" s="14" t="e">
        <f>'APPENDIX A FOR INPUT'!#REF!</f>
        <v>#REF!</v>
      </c>
      <c r="D433" s="14">
        <f>E433</f>
        <v>175000</v>
      </c>
      <c r="E433" s="14">
        <f>'APPENDIX A FOR INPUT'!F535</f>
        <v>175000</v>
      </c>
    </row>
    <row r="434" spans="1:5">
      <c r="A434" s="59" t="str">
        <f>'APPENDIX A FOR INPUT'!D536</f>
        <v xml:space="preserve">SBRSD HIGH SCHOOL </v>
      </c>
      <c r="B434" s="14">
        <f>'APPENDIX A FOR INPUT'!E536</f>
        <v>354634</v>
      </c>
      <c r="C434" s="14" t="e">
        <f>'APPENDIX A FOR INPUT'!#REF!</f>
        <v>#REF!</v>
      </c>
      <c r="D434" s="14">
        <v>387878</v>
      </c>
      <c r="E434" s="14">
        <f>'APPENDIX A FOR INPUT'!F536</f>
        <v>387878.40000000002</v>
      </c>
    </row>
    <row r="435" spans="1:5">
      <c r="A435" s="12" t="s">
        <v>474</v>
      </c>
      <c r="B435" s="13">
        <f>SUM(B430:B434)</f>
        <v>795068</v>
      </c>
      <c r="C435" s="13" t="e">
        <f>SUM(C430:C434)</f>
        <v>#REF!</v>
      </c>
      <c r="D435" s="13">
        <f>SUM(D430:D434)</f>
        <v>1506801</v>
      </c>
      <c r="E435" s="13">
        <f>SUM(E430:E434)</f>
        <v>831801.4</v>
      </c>
    </row>
    <row r="436" spans="1:5">
      <c r="A436" s="59"/>
      <c r="B436" s="14"/>
      <c r="C436" s="14"/>
      <c r="D436" s="14"/>
      <c r="E436" s="14"/>
    </row>
    <row r="439" spans="1:5" ht="15.75">
      <c r="A439" s="9" t="s">
        <v>487</v>
      </c>
      <c r="B439" s="9" t="str">
        <f>'APPENDIX A FOR INPUT'!C542</f>
        <v>INTEREST</v>
      </c>
      <c r="C439" s="9"/>
      <c r="D439" s="9"/>
      <c r="E439" s="9"/>
    </row>
    <row r="440" spans="1:5">
      <c r="A440" t="s">
        <v>488</v>
      </c>
      <c r="B440" s="10"/>
      <c r="C440" s="11" t="e">
        <f>'APPENDIX A FOR INPUT'!#REF!</f>
        <v>#REF!</v>
      </c>
      <c r="D440" s="10"/>
      <c r="E440" s="10"/>
    </row>
    <row r="441" spans="1:5">
      <c r="A441" s="4" t="s">
        <v>455</v>
      </c>
      <c r="B441" s="14">
        <f>'APPENDIX A FOR INPUT'!E545</f>
        <v>219348</v>
      </c>
      <c r="C441" s="14" t="e">
        <f>'APPENDIX A FOR INPUT'!#REF!</f>
        <v>#REF!</v>
      </c>
      <c r="D441" s="14">
        <v>543148</v>
      </c>
      <c r="E441" s="14">
        <f>'APPENDIX A FOR INPUT'!F545</f>
        <v>543148</v>
      </c>
    </row>
    <row r="442" spans="1:5">
      <c r="A442" s="4" t="s">
        <v>456</v>
      </c>
      <c r="B442" s="14">
        <f>'APPENDIX A FOR INPUT'!E546</f>
        <v>0</v>
      </c>
      <c r="C442" s="14" t="e">
        <f>'APPENDIX A FOR INPUT'!#REF!</f>
        <v>#REF!</v>
      </c>
      <c r="D442" s="14">
        <v>245839</v>
      </c>
      <c r="E442" s="14">
        <f>'APPENDIX A FOR INPUT'!F546</f>
        <v>245839.44</v>
      </c>
    </row>
    <row r="443" spans="1:5">
      <c r="A443" s="4" t="s">
        <v>457</v>
      </c>
      <c r="B443" s="14">
        <f>'APPENDIX A FOR INPUT'!E547</f>
        <v>14962.5</v>
      </c>
      <c r="C443" s="14" t="e">
        <f>'APPENDIX A FOR INPUT'!#REF!</f>
        <v>#REF!</v>
      </c>
      <c r="D443" s="14">
        <f>E443</f>
        <v>4987.5</v>
      </c>
      <c r="E443" s="14">
        <f>'APPENDIX A FOR INPUT'!F547</f>
        <v>4987.5</v>
      </c>
    </row>
    <row r="444" spans="1:5">
      <c r="A444" s="59" t="str">
        <f>'APPENDIX A FOR INPUT'!D543</f>
        <v>TOWN OFFICE BUILDING</v>
      </c>
      <c r="B444" s="14">
        <f>'APPENDIX A FOR INPUT'!E543</f>
        <v>69600</v>
      </c>
      <c r="C444" s="14" t="e">
        <f>'APPENDIX A FOR INPUT'!#REF!</f>
        <v>#REF!</v>
      </c>
      <c r="D444" s="14">
        <f>E444</f>
        <v>64500</v>
      </c>
      <c r="E444" s="14">
        <f>'APPENDIX A FOR INPUT'!F543</f>
        <v>64500</v>
      </c>
    </row>
    <row r="445" spans="1:5">
      <c r="A445" s="59" t="str">
        <f>'APPENDIX A FOR INPUT'!D544</f>
        <v xml:space="preserve">SBRSD HIGH SCHOOL </v>
      </c>
      <c r="B445" s="14">
        <f>'APPENDIX A FOR INPUT'!E544</f>
        <v>169585</v>
      </c>
      <c r="C445" s="14" t="e">
        <f>'APPENDIX A FOR INPUT'!#REF!</f>
        <v>#REF!</v>
      </c>
      <c r="D445" s="14">
        <v>166234</v>
      </c>
      <c r="E445" s="14">
        <f>'APPENDIX A FOR INPUT'!F544</f>
        <v>166233.60000000001</v>
      </c>
    </row>
    <row r="446" spans="1:5">
      <c r="A446" s="12" t="s">
        <v>474</v>
      </c>
      <c r="B446" s="13">
        <f>SUM(B441:B445)</f>
        <v>473495.5</v>
      </c>
      <c r="C446" s="13" t="e">
        <f>SUM(C441:C442)</f>
        <v>#REF!</v>
      </c>
      <c r="D446" s="13">
        <f>SUM(D441:D445)</f>
        <v>1024708.5</v>
      </c>
      <c r="E446" s="13">
        <f>SUM(E441:E445)</f>
        <v>1024708.5399999999</v>
      </c>
    </row>
    <row r="447" spans="1:5">
      <c r="B447" s="16"/>
      <c r="C447" s="16"/>
      <c r="D447" s="16"/>
      <c r="E447" s="16"/>
    </row>
    <row r="448" spans="1:5">
      <c r="B448" s="16"/>
      <c r="C448" s="16"/>
      <c r="D448" s="16"/>
      <c r="E448" s="16"/>
    </row>
    <row r="449" spans="1:8" ht="15.75">
      <c r="A449" s="9" t="s">
        <v>487</v>
      </c>
      <c r="B449" s="9" t="s">
        <v>501</v>
      </c>
      <c r="C449" s="9"/>
      <c r="D449" s="9"/>
      <c r="E449" s="9"/>
    </row>
    <row r="450" spans="1:8">
      <c r="A450" t="s">
        <v>488</v>
      </c>
      <c r="B450" s="10"/>
      <c r="C450" s="11" t="e">
        <f>'APPENDIX A FOR INPUT'!#REF!</f>
        <v>#REF!</v>
      </c>
      <c r="D450" s="10"/>
      <c r="E450" s="10"/>
      <c r="G450" s="58">
        <f>+E446+E435</f>
        <v>1856509.94</v>
      </c>
    </row>
    <row r="451" spans="1:8">
      <c r="A451" s="12"/>
      <c r="B451" s="12"/>
      <c r="C451" s="12"/>
      <c r="D451" s="12"/>
      <c r="E451" s="12"/>
    </row>
    <row r="452" spans="1:8">
      <c r="A452" s="12" t="s">
        <v>502</v>
      </c>
      <c r="B452" s="13">
        <f>'APPENDIX A FOR INPUT'!E385</f>
        <v>8715624</v>
      </c>
      <c r="C452" s="13" t="e">
        <f>'APPENDIX A FOR INPUT'!#REF!</f>
        <v>#REF!</v>
      </c>
      <c r="D452" s="13">
        <v>9793385</v>
      </c>
      <c r="E452" s="13">
        <f>'APPENDIX A FOR INPUT'!F385</f>
        <v>9180000</v>
      </c>
    </row>
    <row r="453" spans="1:8">
      <c r="A453" s="12" t="s">
        <v>492</v>
      </c>
      <c r="B453" s="13">
        <f>'APPENDIX A FOR INPUT'!E386</f>
        <v>1200</v>
      </c>
      <c r="C453" s="13" t="e">
        <f>'APPENDIX A FOR INPUT'!#REF!</f>
        <v>#REF!</v>
      </c>
      <c r="D453" s="13" t="e">
        <f>'APPENDIX A FOR INPUT'!#REF!</f>
        <v>#REF!</v>
      </c>
      <c r="E453" s="13">
        <f>'APPENDIX A FOR INPUT'!F386</f>
        <v>1200</v>
      </c>
    </row>
    <row r="454" spans="1:8">
      <c r="A454" s="12" t="s">
        <v>503</v>
      </c>
      <c r="B454" s="13">
        <f>SUM('APPENDIX A FOR INPUT'!E387)</f>
        <v>325310</v>
      </c>
      <c r="C454" s="13"/>
      <c r="D454" s="13">
        <v>190702</v>
      </c>
      <c r="E454" s="13">
        <f>'APPENDIX A FOR INPUT'!F387</f>
        <v>190702</v>
      </c>
    </row>
    <row r="455" spans="1:8">
      <c r="A455" s="12" t="s">
        <v>504</v>
      </c>
      <c r="B455" s="13">
        <f>SUM('APPENDIX A FOR INPUT'!E388:E391)</f>
        <v>1803448.2140000002</v>
      </c>
      <c r="C455" s="13" t="e">
        <f>SUM('APPENDIX A FOR INPUT'!#REF!)</f>
        <v>#REF!</v>
      </c>
      <c r="D455" s="13">
        <f>SUM('APPENDIX A FOR INPUT'!F388:F391)</f>
        <v>1971504.5</v>
      </c>
      <c r="E455" s="13">
        <f>SUM('APPENDIX A FOR INPUT'!F388:F391)</f>
        <v>1971504.5</v>
      </c>
    </row>
    <row r="456" spans="1:8">
      <c r="A456" s="13" t="s">
        <v>505</v>
      </c>
      <c r="B456" s="14">
        <f>'APPENDIX A FOR INPUT'!E392</f>
        <v>2747558</v>
      </c>
      <c r="C456" s="14" t="e">
        <f>'APPENDIX A FOR INPUT'!#REF!</f>
        <v>#REF!</v>
      </c>
      <c r="D456" s="14">
        <f>SUM('APPENDIX A FOR INPUT'!F392,'APPENDIX A FOR INPUT'!F395)</f>
        <v>3013899</v>
      </c>
      <c r="E456" s="14">
        <f>SUM('APPENDIX A FOR INPUT'!F392,'APPENDIX A FOR INPUT'!F395)</f>
        <v>3013899</v>
      </c>
    </row>
    <row r="457" spans="1:8">
      <c r="A457" s="12" t="s">
        <v>506</v>
      </c>
      <c r="B457" s="13">
        <f>'APPENDIX A FOR INPUT'!E393</f>
        <v>1332200</v>
      </c>
      <c r="C457" s="13" t="e">
        <f>'APPENDIX A FOR INPUT'!#REF!</f>
        <v>#REF!</v>
      </c>
      <c r="D457" s="13">
        <f>'APPENDIX A FOR INPUT'!F393</f>
        <v>1353780</v>
      </c>
      <c r="E457" s="13">
        <f>'APPENDIX A FOR INPUT'!F393</f>
        <v>1353780</v>
      </c>
    </row>
    <row r="458" spans="1:8">
      <c r="A458" s="13" t="s">
        <v>507</v>
      </c>
      <c r="B458" s="14">
        <f>'APPENDIX A FOR INPUT'!E394</f>
        <v>139953.24</v>
      </c>
      <c r="C458" s="14" t="e">
        <f>'APPENDIX A FOR INPUT'!#REF!</f>
        <v>#REF!</v>
      </c>
      <c r="D458" s="14">
        <f>'APPENDIX A FOR INPUT'!F394</f>
        <v>176743.22</v>
      </c>
      <c r="E458" s="14">
        <f>'APPENDIX A FOR INPUT'!F394</f>
        <v>176743.22</v>
      </c>
    </row>
    <row r="459" spans="1:8">
      <c r="A459" s="13" t="s">
        <v>508</v>
      </c>
      <c r="B459" s="14">
        <f>'APPENDIX A FOR INPUT'!E395</f>
        <v>79040</v>
      </c>
      <c r="C459" s="14" t="e">
        <f>'APPENDIX A FOR INPUT'!#REF!</f>
        <v>#REF!</v>
      </c>
      <c r="D459" s="14">
        <f>0</f>
        <v>0</v>
      </c>
      <c r="E459" s="14">
        <f>0</f>
        <v>0</v>
      </c>
    </row>
    <row r="460" spans="1:8">
      <c r="A460" s="12" t="s">
        <v>474</v>
      </c>
      <c r="B460" s="13">
        <f>SUM(B452:B459)</f>
        <v>15144333.454</v>
      </c>
      <c r="C460" s="13" t="e">
        <f>SUM(C452:C459)</f>
        <v>#REF!</v>
      </c>
      <c r="D460" s="13" t="e">
        <f>SUM(D452:D459)</f>
        <v>#REF!</v>
      </c>
      <c r="E460" s="13">
        <f>SUM(E452:E459)</f>
        <v>15887828.720000001</v>
      </c>
    </row>
    <row r="461" spans="1:8">
      <c r="B461" s="16"/>
      <c r="C461" s="16"/>
      <c r="D461" s="16"/>
      <c r="E461" s="16"/>
    </row>
    <row r="462" spans="1:8" ht="15.75" thickBot="1">
      <c r="B462" s="16"/>
      <c r="C462" s="16"/>
      <c r="D462" s="16"/>
      <c r="E462" s="16"/>
    </row>
    <row r="463" spans="1:8" ht="15.75" thickBot="1">
      <c r="A463" s="56" t="s">
        <v>462</v>
      </c>
      <c r="B463" s="57" t="e">
        <f>+B425+B418+B411+B403+B395+B446+B435+B387+B366+B359+B338+B329+B320+B311+B303+B283+B276+B269+B460+B251+B243+B223+B214+B205+B196+B187+B178+B170+B151+B121+B112+B102+B93+B86+B76+B66+B56+B45+B39+B30+B12</f>
        <v>#REF!</v>
      </c>
      <c r="C463" s="57" t="e">
        <f>+C425+C418+C411+C403+C395+C446+C435+C387+C366+C359+C338+C329+C320+C311+C303+C283+C276+C269+C460+C251+C243+C223+C214+C205+C196+C187+C178+C170+C151+C121+C112+C102+C93+C86+C76+C66+C56+C45+C39+C30+C12</f>
        <v>#REF!</v>
      </c>
      <c r="D463" s="57" t="e">
        <f>+D425+D418+D411+D403+D395+D446+D435+D387+D366+D359+D338+D329+D320+D311+D303+D283+D276+D269+D460+D251+D243+D223+D214+D205+D196+D187+D178+D170+D151+D121+D112+D102+D93+D86+D76+D66+D56+D45+D39+D30+D12</f>
        <v>#REF!</v>
      </c>
      <c r="E463" s="57">
        <f>+E425+E418+E411+E403+E395+E446+E435+E387+E366+E359+E338+E329+E320+E311+E303+E283+E276+E269+E460+E251+E243+E223+E214+E205+E196+E187+E178+E170+E151+E121+E112+E102+E93+E86+E76+E66+E56+E45+E39+E30+E12</f>
        <v>25517972.738999996</v>
      </c>
    </row>
    <row r="464" spans="1:8">
      <c r="G464" s="58">
        <f>+E460</f>
        <v>15887828.720000001</v>
      </c>
      <c r="H464" s="16" t="e">
        <f>D452+D453+D455+D457+D458</f>
        <v>#REF!</v>
      </c>
    </row>
    <row r="467" spans="2:7">
      <c r="G467" s="58">
        <f>+G464+G450+G424</f>
        <v>25517972.739</v>
      </c>
    </row>
    <row r="472" spans="2:7">
      <c r="B472" s="16" t="e">
        <f>B12+B30+B39+B45+B56+B66+B76+B86+B93+B102+B112+B121+B151+B170+B178+B187+B196+B205+B214+B223+B243+B251+B269+B276+B283+B303+B311+B320+B329+B338+B359+B366+B387+B395+B403+B411+B418+B425</f>
        <v>#REF!</v>
      </c>
    </row>
  </sheetData>
  <mergeCells count="1">
    <mergeCell ref="A1:E1"/>
  </mergeCells>
  <printOptions horizontalCentered="1"/>
  <pageMargins left="0.25" right="0.25" top="0.75" bottom="0.75" header="0.3" footer="0.3"/>
  <pageSetup fitToHeight="0" orientation="portrait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jZGU1M2FjMS1iZjVmLTRhYWUtOWNmMS0wNzUwOWUyM2E0YjAiIG9yaWdpbj0idXNlclNlbGVjdGVkIiAvPjxVc2VyTmFtZT5VU1xob2FrZTwvVXNlck5hbWU+PERhdGVUaW1lPjUvMS8yMDE4IDI6MDY6MzIgQU08L0RhdGVUaW1lPjxMYWJlbFN0cmluZz5UaGlzIGFydGlmYWN0IGhhcyBubyBjbGFzc2lmaWNhdGlvbi48L0xhYmVsU3RyaW5nPjwvaXRlbT48L2xhYmVsSGlzdG9yeT4=</Value>
</WrappedLabelHistory>
</file>

<file path=customXml/item2.xml><?xml version="1.0" encoding="utf-8"?>
<sisl xmlns:xsi="http://www.w3.org/2001/XMLSchema-instance" xmlns:xsd="http://www.w3.org/2001/XMLSchema" xmlns="http://www.boldonjames.com/2008/01/sie/internal/label" sislVersion="0" policy="cde53ac1-bf5f-4aae-9cf1-07509e23a4b0" origin="userSelected"/>
</file>

<file path=customXml/itemProps1.xml><?xml version="1.0" encoding="utf-8"?>
<ds:datastoreItem xmlns:ds="http://schemas.openxmlformats.org/officeDocument/2006/customXml" ds:itemID="{742813A7-049A-4E6F-A5FF-4C6D0D7F40E4}"/>
</file>

<file path=customXml/itemProps2.xml><?xml version="1.0" encoding="utf-8"?>
<ds:datastoreItem xmlns:ds="http://schemas.openxmlformats.org/officeDocument/2006/customXml" ds:itemID="{D22F9B07-9124-4123-A8E4-CC61D4DBF7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[rtnipcontrolcode:rtnipcontrolcodenone||rtnexportcontrolcountry:rtnexportcontrolcountrynone|rtnexportcontrolcode:rtnexportcontrolcodenone||]</dc:subject>
  <dc:creator>Cathy Doane</dc:creator>
  <cp:keywords/>
  <dc:description/>
  <cp:lastModifiedBy/>
  <cp:revision/>
  <dcterms:created xsi:type="dcterms:W3CDTF">2015-01-12T16:42:11Z</dcterms:created>
  <dcterms:modified xsi:type="dcterms:W3CDTF">2026-05-07T17:25:47Z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4ef69280-03a4-4861-9f2f-27d6bc3d4eda</vt:lpwstr>
  </property>
  <property fmtid="{D5CDD505-2E9C-101B-9397-08002B2CF9AE}" pid="3" name="bjDocumentSecurityLabel">
    <vt:lpwstr>This artifact has no classification.</vt:lpwstr>
  </property>
  <property fmtid="{D5CDD505-2E9C-101B-9397-08002B2CF9AE}" pid="4" name="rtnexportcontrolcode">
    <vt:lpwstr>rtnexportcontrolcodenone</vt:lpwstr>
  </property>
  <property fmtid="{D5CDD505-2E9C-101B-9397-08002B2CF9AE}" pid="5" name="rtnexportcontrolcountry">
    <vt:lpwstr>rtnexportcontrolcountrynone</vt:lpwstr>
  </property>
  <property fmtid="{D5CDD505-2E9C-101B-9397-08002B2CF9AE}" pid="6" name="rtnipcontrolcode">
    <vt:lpwstr>rtnipcontrolcodenone</vt:lpwstr>
  </property>
  <property fmtid="{D5CDD505-2E9C-101B-9397-08002B2CF9AE}" pid="7" name="bjSaver">
    <vt:lpwstr>qg3X6yYvr+g4TFV2HmFvj7nFTE6dbaM0</vt:lpwstr>
  </property>
  <property fmtid="{D5CDD505-2E9C-101B-9397-08002B2CF9AE}" pid="8" name="bjLabelHistoryID">
    <vt:lpwstr>{742813A7-049A-4E6F-A5FF-4C6D0D7F40E4}</vt:lpwstr>
  </property>
</Properties>
</file>