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dget FY2027\"/>
    </mc:Choice>
  </mc:AlternateContent>
  <xr:revisionPtr revIDLastSave="0" documentId="8_{381EF39B-8787-47DA-AC6C-DC986F8F4370}" xr6:coauthVersionLast="47" xr6:coauthVersionMax="47" xr10:uidLastSave="{00000000-0000-0000-0000-000000000000}"/>
  <bookViews>
    <workbookView xWindow="28680" yWindow="-120" windowWidth="29040" windowHeight="15720" tabRatio="806" firstSheet="9" activeTab="2" xr2:uid="{00000000-000D-0000-FFFF-FFFF00000000}"/>
  </bookViews>
  <sheets>
    <sheet name="Assumptions" sheetId="52" r:id="rId1"/>
    <sheet name="Change Log" sheetId="44" r:id="rId2"/>
    <sheet name="Summary" sheetId="6" r:id="rId3"/>
    <sheet name="Revenue" sheetId="1" r:id="rId4"/>
    <sheet name="Tax Levy" sheetId="27" r:id="rId5"/>
    <sheet name="State Aid" sheetId="26" r:id="rId6"/>
    <sheet name="Local Receipts" sheetId="2" r:id="rId7"/>
    <sheet name="Offset Receipts" sheetId="53" r:id="rId8"/>
    <sheet name="Available Funds" sheetId="8" r:id="rId9"/>
    <sheet name="Expenditures" sheetId="9" r:id="rId10"/>
    <sheet name="Enterprise Funds" sheetId="42" r:id="rId11"/>
    <sheet name="CPF" sheetId="43" r:id="rId12"/>
    <sheet name="Debt" sheetId="17" r:id="rId13"/>
    <sheet name="CIP" sheetId="41" r:id="rId14"/>
    <sheet name="Snow &amp; Ice" sheetId="50" r:id="rId15"/>
    <sheet name="Position Control" sheetId="54" r:id="rId16"/>
    <sheet name="COLA" sheetId="10" r:id="rId17"/>
    <sheet name="NSS" sheetId="48" r:id="rId18"/>
    <sheet name="__ RSD 1" sheetId="49" r:id="rId19"/>
    <sheet name="__ RSD 2" sheetId="57" r:id="rId20"/>
    <sheet name="__ RSD 3" sheetId="58" r:id="rId21"/>
    <sheet name="Choice &amp; Charter" sheetId="59" r:id="rId22"/>
  </sheets>
  <externalReferences>
    <externalReference r:id="rId23"/>
    <externalReference r:id="rId24"/>
    <externalReference r:id="rId25"/>
    <externalReference r:id="rId26"/>
  </externalReferences>
  <definedNames>
    <definedName name="aidcalc" localSheetId="11">[1]aid436!$A$10:$AI$448</definedName>
    <definedName name="aidcalc" localSheetId="10">[2]aid436!$A$10:$AI$448</definedName>
    <definedName name="aidcalc">[2]aid436!$A$10:$AI$448</definedName>
    <definedName name="dec" localSheetId="11">[3]dec!$A$10:$O$449</definedName>
    <definedName name="dec" localSheetId="10">[4]dec!$A$10:$O$449</definedName>
    <definedName name="dec">[4]dec!$A$10:$O$449</definedName>
    <definedName name="disthist" localSheetId="11">[1]disthist!$A$10:$AN$448</definedName>
    <definedName name="disthist" localSheetId="10">[2]disthist!$A$10:$AN$448</definedName>
    <definedName name="disthist">[2]disthist!$A$10:$AN$448</definedName>
    <definedName name="distributions" localSheetId="11">[3]distributions!$A$10:$T$449</definedName>
    <definedName name="distributions" localSheetId="10">[4]distributions!$A$10:$T$449</definedName>
    <definedName name="distributions">[4]distributions!$A$10:$T$449</definedName>
    <definedName name="_xlnm.Print_Area" localSheetId="18">'__ RSD 1'!$A$1:$J$68</definedName>
    <definedName name="_xlnm.Print_Area" localSheetId="19">'__ RSD 2'!$A$1:$J$68</definedName>
    <definedName name="_xlnm.Print_Area" localSheetId="20">'__ RSD 3'!$A$1:$J$68</definedName>
    <definedName name="_xlnm.Print_Area" localSheetId="0">Assumptions!$A$1:$B$51</definedName>
    <definedName name="_xlnm.Print_Area" localSheetId="8">'Available Funds'!$A$1:$AA$82</definedName>
    <definedName name="_xlnm.Print_Area" localSheetId="1">'Change Log'!$A$1:$D$32</definedName>
    <definedName name="_xlnm.Print_Area" localSheetId="21">'Choice &amp; Charter'!$A$1:$T$49</definedName>
    <definedName name="_xlnm.Print_Area" localSheetId="13">CIP!$A$1:$AA$90</definedName>
    <definedName name="_xlnm.Print_Area" localSheetId="16">COLA!$A$1:$V$70</definedName>
    <definedName name="_xlnm.Print_Area" localSheetId="11">CPF!$A$1:$AE$42</definedName>
    <definedName name="_xlnm.Print_Area" localSheetId="12">Debt!$A$1:$V$129</definedName>
    <definedName name="_xlnm.Print_Area" localSheetId="10">'Enterprise Funds'!$A$1:$AF$182</definedName>
    <definedName name="_xlnm.Print_Area" localSheetId="9">Expenditures!$A$1:$AD$136</definedName>
    <definedName name="_xlnm.Print_Area" localSheetId="6">'Local Receipts'!$A$1:$AF$74</definedName>
    <definedName name="_xlnm.Print_Area" localSheetId="17">NSS!$A$1:$AD$47</definedName>
    <definedName name="_xlnm.Print_Area" localSheetId="7">'Offset Receipts'!$A$1:$AC$37</definedName>
    <definedName name="_xlnm.Print_Area" localSheetId="15">'Position Control'!$A$1:$AB$30</definedName>
    <definedName name="_xlnm.Print_Area" localSheetId="3">Revenue!$A$1:$AE$63</definedName>
    <definedName name="_xlnm.Print_Area" localSheetId="5">'State Aid'!$A$1:$AD$68</definedName>
    <definedName name="_xlnm.Print_Area" localSheetId="2">Summary!$Q$5:$AA$76</definedName>
    <definedName name="_xlnm.Print_Area" localSheetId="4">'Tax Levy'!$A$1:$AF$91</definedName>
    <definedName name="_xlnm.Print_Titles" localSheetId="8">'Available Funds'!$A:$B,'Available Funds'!$1:$3</definedName>
    <definedName name="_xlnm.Print_Titles" localSheetId="13">CIP!$A:$C,CIP!$1:$6</definedName>
    <definedName name="_xlnm.Print_Titles" localSheetId="16">COLA!$A:$B,COLA!$1:$5</definedName>
    <definedName name="_xlnm.Print_Titles" localSheetId="11">CPF!$A:$B</definedName>
    <definedName name="_xlnm.Print_Titles" localSheetId="12">Debt!$A:$B,Debt!$1:$4</definedName>
    <definedName name="_xlnm.Print_Titles" localSheetId="10">'Enterprise Funds'!$A:$B,'Enterprise Funds'!$1:$2</definedName>
    <definedName name="_xlnm.Print_Titles" localSheetId="9">Expenditures!$A:$B,Expenditures!$1:$5</definedName>
    <definedName name="_xlnm.Print_Titles" localSheetId="6">'Local Receipts'!$A:$B,'Local Receipts'!$1:$3</definedName>
    <definedName name="_xlnm.Print_Titles" localSheetId="17">NSS!$A:$B,NSS!$1:$3</definedName>
    <definedName name="_xlnm.Print_Titles" localSheetId="7">'Offset Receipts'!$A:$B,'Offset Receipts'!$1:$3</definedName>
    <definedName name="_xlnm.Print_Titles" localSheetId="3">Revenue!$A:$B,Revenue!$1:$5</definedName>
    <definedName name="_xlnm.Print_Titles" localSheetId="5">'State Aid'!$A:$B,'State Aid'!$1:$2</definedName>
    <definedName name="_xlnm.Print_Titles" localSheetId="2">Summary!$A:$B,Summary!$1:$4</definedName>
    <definedName name="_xlnm.Print_Titles" localSheetId="4">'Tax Levy'!$A:$B,'Tax Levy'!$1:$5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6" i="9" l="1"/>
  <c r="Z96" i="9"/>
  <c r="AA96" i="9"/>
  <c r="AB96" i="9"/>
  <c r="AC13" i="9"/>
  <c r="AD13" i="9"/>
  <c r="X39" i="9"/>
  <c r="X34" i="9"/>
  <c r="Z67" i="8"/>
  <c r="AA67" i="8"/>
  <c r="AB67" i="8"/>
  <c r="Y67" i="8"/>
  <c r="X67" i="8"/>
  <c r="W55" i="8"/>
  <c r="X70" i="54"/>
  <c r="X118" i="54"/>
  <c r="X119" i="54"/>
  <c r="X120" i="54"/>
  <c r="X121" i="54"/>
  <c r="X122" i="54"/>
  <c r="X123" i="54"/>
  <c r="X124" i="54"/>
  <c r="X117" i="54"/>
  <c r="X134" i="54"/>
  <c r="X131" i="54"/>
  <c r="X114" i="54"/>
  <c r="X75" i="54"/>
  <c r="X76" i="54"/>
  <c r="X78" i="54"/>
  <c r="X79" i="54"/>
  <c r="X80" i="54"/>
  <c r="X81" i="54"/>
  <c r="X82" i="54"/>
  <c r="X83" i="54"/>
  <c r="X74" i="54"/>
  <c r="X72" i="54"/>
  <c r="AA56" i="17"/>
  <c r="AB56" i="17"/>
  <c r="Z56" i="17"/>
  <c r="AA41" i="17"/>
  <c r="AB41" i="17"/>
  <c r="Z41" i="17"/>
  <c r="Y109" i="17"/>
  <c r="Z109" i="17"/>
  <c r="AA109" i="17"/>
  <c r="AB109" i="17"/>
  <c r="X109" i="17"/>
  <c r="X111" i="17"/>
  <c r="Y21" i="54"/>
  <c r="Z21" i="54"/>
  <c r="AA21" i="54"/>
  <c r="AB21" i="54"/>
  <c r="Z20" i="54"/>
  <c r="AA20" i="54" s="1"/>
  <c r="AB20" i="54" s="1"/>
  <c r="Y20" i="54"/>
  <c r="Y15" i="54"/>
  <c r="X28" i="54"/>
  <c r="S203" i="54"/>
  <c r="S204" i="54"/>
  <c r="S205" i="54"/>
  <c r="S206" i="54"/>
  <c r="S202" i="54"/>
  <c r="S170" i="54"/>
  <c r="S171" i="54"/>
  <c r="S172" i="54"/>
  <c r="S173" i="54"/>
  <c r="S169" i="54"/>
  <c r="S186" i="54"/>
  <c r="S179" i="54"/>
  <c r="Y179" i="54"/>
  <c r="Z179" i="54"/>
  <c r="AA179" i="54"/>
  <c r="AB179" i="54"/>
  <c r="X179" i="54"/>
  <c r="AB63" i="9"/>
  <c r="AB191" i="54"/>
  <c r="AA191" i="54"/>
  <c r="Z191" i="54"/>
  <c r="Y191" i="54"/>
  <c r="X191" i="54"/>
  <c r="AB189" i="54"/>
  <c r="AA189" i="54"/>
  <c r="Z189" i="54"/>
  <c r="Y189" i="54"/>
  <c r="X189" i="54"/>
  <c r="X192" i="54"/>
  <c r="Y192" i="54"/>
  <c r="Z192" i="54"/>
  <c r="AA192" i="54"/>
  <c r="AB192" i="54"/>
  <c r="X190" i="54"/>
  <c r="Y190" i="54"/>
  <c r="Z190" i="54"/>
  <c r="AA190" i="54"/>
  <c r="AB190" i="54"/>
  <c r="W191" i="54"/>
  <c r="V191" i="54"/>
  <c r="W189" i="54"/>
  <c r="Y183" i="54"/>
  <c r="Z183" i="54"/>
  <c r="AA183" i="54"/>
  <c r="AB183" i="54"/>
  <c r="X183" i="54"/>
  <c r="AB182" i="54"/>
  <c r="AA182" i="54"/>
  <c r="Z181" i="54"/>
  <c r="AA181" i="54" s="1"/>
  <c r="AB181" i="54" s="1"/>
  <c r="Y181" i="54"/>
  <c r="Z195" i="54"/>
  <c r="AA195" i="54" s="1"/>
  <c r="AB195" i="54" s="1"/>
  <c r="Y195" i="54"/>
  <c r="S183" i="54"/>
  <c r="X21" i="54"/>
  <c r="X15" i="27"/>
  <c r="X58" i="54"/>
  <c r="X57" i="54"/>
  <c r="X56" i="54"/>
  <c r="X69" i="54"/>
  <c r="X52" i="54"/>
  <c r="X42" i="54"/>
  <c r="X38" i="54"/>
  <c r="X32" i="54"/>
  <c r="Y193" i="54" l="1"/>
  <c r="AA193" i="54"/>
  <c r="X193" i="54"/>
  <c r="AB193" i="54"/>
  <c r="Z193" i="54"/>
  <c r="X172" i="54"/>
  <c r="X171" i="54"/>
  <c r="X170" i="54"/>
  <c r="X169" i="54"/>
  <c r="X161" i="54"/>
  <c r="X149" i="54"/>
  <c r="X160" i="54"/>
  <c r="X159" i="54"/>
  <c r="X158" i="54"/>
  <c r="X157" i="54"/>
  <c r="X156" i="54"/>
  <c r="X155" i="54"/>
  <c r="X154" i="54"/>
  <c r="X153" i="54"/>
  <c r="X152" i="54"/>
  <c r="X151" i="54"/>
  <c r="X150" i="54"/>
  <c r="X173" i="54" l="1"/>
  <c r="Y14" i="9"/>
  <c r="Z14" i="9"/>
  <c r="AA14" i="9"/>
  <c r="AB14" i="9" s="1"/>
  <c r="Y15" i="9"/>
  <c r="Z15" i="9"/>
  <c r="AA15" i="9" s="1"/>
  <c r="Y16" i="9"/>
  <c r="AB15" i="9" l="1"/>
  <c r="AA16" i="9"/>
  <c r="AB16" i="9"/>
  <c r="Z16" i="9"/>
  <c r="X8" i="2" l="1"/>
  <c r="X9" i="2"/>
  <c r="X89" i="9" l="1"/>
  <c r="X29" i="9"/>
  <c r="X23" i="9"/>
  <c r="Y18" i="9"/>
  <c r="X67" i="9" l="1"/>
  <c r="X54" i="9"/>
  <c r="Y54" i="9" s="1"/>
  <c r="Z54" i="9" s="1"/>
  <c r="AA54" i="9" s="1"/>
  <c r="AB54" i="9" s="1"/>
  <c r="Z53" i="9"/>
  <c r="AA53" i="9" s="1"/>
  <c r="AB53" i="9" s="1"/>
  <c r="Y53" i="9"/>
  <c r="X53" i="9"/>
  <c r="Y34" i="9" l="1"/>
  <c r="Z34" i="9" s="1"/>
  <c r="AA34" i="9" s="1"/>
  <c r="AB34" i="9" s="1"/>
  <c r="Z18" i="9"/>
  <c r="AA18" i="9" s="1"/>
  <c r="AB18" i="9" s="1"/>
  <c r="Y23" i="9" l="1"/>
  <c r="Z23" i="9" s="1"/>
  <c r="AA23" i="9" s="1"/>
  <c r="AB23" i="9" s="1"/>
  <c r="Y8" i="9"/>
  <c r="W138" i="54"/>
  <c r="W199" i="54"/>
  <c r="W205" i="54"/>
  <c r="W203" i="54"/>
  <c r="W202" i="54"/>
  <c r="W204" i="54"/>
  <c r="W131" i="54"/>
  <c r="V131" i="54"/>
  <c r="U131" i="54"/>
  <c r="T131" i="54"/>
  <c r="T133" i="54"/>
  <c r="U133" i="54"/>
  <c r="V133" i="54"/>
  <c r="W133" i="54"/>
  <c r="V134" i="54"/>
  <c r="W206" i="54" l="1"/>
  <c r="X19" i="2" l="1"/>
  <c r="X13" i="2"/>
  <c r="X10" i="2"/>
  <c r="X14" i="2"/>
  <c r="X15" i="2"/>
  <c r="X16" i="2"/>
  <c r="X17" i="2"/>
  <c r="X20" i="2"/>
  <c r="X21" i="2"/>
  <c r="X22" i="2"/>
  <c r="X23" i="2"/>
  <c r="X24" i="2"/>
  <c r="X25" i="2"/>
  <c r="X26" i="2"/>
  <c r="X27" i="2"/>
  <c r="X29" i="2"/>
  <c r="X31" i="2"/>
  <c r="V61" i="2"/>
  <c r="V140" i="54" l="1"/>
  <c r="V138" i="54"/>
  <c r="AA113" i="17"/>
  <c r="Y28" i="54" l="1"/>
  <c r="Z28" i="54" s="1"/>
  <c r="AA28" i="54" s="1"/>
  <c r="AB28" i="54" s="1"/>
  <c r="Y32" i="54"/>
  <c r="Z32" i="54" s="1"/>
  <c r="AA32" i="54" s="1"/>
  <c r="AB32" i="54" s="1"/>
  <c r="Y38" i="54"/>
  <c r="Z38" i="54" s="1"/>
  <c r="AA38" i="54" s="1"/>
  <c r="AB38" i="54" s="1"/>
  <c r="Y42" i="54"/>
  <c r="Z42" i="54" s="1"/>
  <c r="AA42" i="54" s="1"/>
  <c r="AB42" i="54" s="1"/>
  <c r="Y52" i="54"/>
  <c r="Z52" i="54" s="1"/>
  <c r="AA52" i="54" s="1"/>
  <c r="AB52" i="54" s="1"/>
  <c r="Y57" i="54"/>
  <c r="AB59" i="54"/>
  <c r="AB57" i="54"/>
  <c r="AA59" i="54"/>
  <c r="AA57" i="54"/>
  <c r="Z57" i="54"/>
  <c r="Y59" i="54"/>
  <c r="Z59" i="54"/>
  <c r="X59" i="54"/>
  <c r="X60" i="54" s="1"/>
  <c r="X45" i="54"/>
  <c r="Y45" i="54"/>
  <c r="Z45" i="54"/>
  <c r="AA45" i="54"/>
  <c r="AB45" i="54"/>
  <c r="X46" i="54"/>
  <c r="Y46" i="54"/>
  <c r="Z46" i="54"/>
  <c r="AA46" i="54"/>
  <c r="AB46" i="54"/>
  <c r="X47" i="54"/>
  <c r="Y47" i="54"/>
  <c r="Z47" i="54"/>
  <c r="AA47" i="54"/>
  <c r="AB47" i="54"/>
  <c r="X48" i="54"/>
  <c r="Y48" i="54"/>
  <c r="Z48" i="54"/>
  <c r="AA48" i="54"/>
  <c r="AB48" i="54"/>
  <c r="X49" i="54"/>
  <c r="Y49" i="54"/>
  <c r="Z49" i="54"/>
  <c r="AA49" i="54"/>
  <c r="AB49" i="54"/>
  <c r="AC83" i="9"/>
  <c r="AC91" i="9"/>
  <c r="AC29" i="9"/>
  <c r="AC30" i="9"/>
  <c r="AC32" i="9"/>
  <c r="AC46" i="9"/>
  <c r="AC18" i="9"/>
  <c r="AC19" i="9"/>
  <c r="AC23" i="9"/>
  <c r="Y24" i="9"/>
  <c r="Z24" i="9" s="1"/>
  <c r="AA24" i="9" s="1"/>
  <c r="AB24" i="9" s="1"/>
  <c r="AC24" i="9" s="1"/>
  <c r="X53" i="54" l="1"/>
  <c r="Z15" i="54"/>
  <c r="Y58" i="54"/>
  <c r="Z58" i="54"/>
  <c r="AA15" i="54"/>
  <c r="AA58" i="54" s="1"/>
  <c r="AB206" i="54"/>
  <c r="AA206" i="54"/>
  <c r="Z206" i="54"/>
  <c r="Y206" i="54"/>
  <c r="X206" i="54"/>
  <c r="R206" i="54"/>
  <c r="Q206" i="54"/>
  <c r="AB205" i="54"/>
  <c r="AA205" i="54"/>
  <c r="Z205" i="54"/>
  <c r="Y205" i="54"/>
  <c r="X205" i="54"/>
  <c r="V205" i="54"/>
  <c r="U205" i="54"/>
  <c r="T205" i="54"/>
  <c r="R205" i="54"/>
  <c r="Q205" i="54"/>
  <c r="AB204" i="54"/>
  <c r="AA204" i="54"/>
  <c r="Z204" i="54"/>
  <c r="Y204" i="54"/>
  <c r="X204" i="54"/>
  <c r="V204" i="54"/>
  <c r="U204" i="54"/>
  <c r="T204" i="54"/>
  <c r="R204" i="54"/>
  <c r="Q204" i="54"/>
  <c r="AB203" i="54"/>
  <c r="AA203" i="54"/>
  <c r="Z203" i="54"/>
  <c r="Y203" i="54"/>
  <c r="X203" i="54"/>
  <c r="V203" i="54"/>
  <c r="U203" i="54"/>
  <c r="T203" i="54"/>
  <c r="R203" i="54"/>
  <c r="Q203" i="54"/>
  <c r="AB202" i="54"/>
  <c r="AA202" i="54"/>
  <c r="Z202" i="54"/>
  <c r="Y202" i="54"/>
  <c r="X202" i="54"/>
  <c r="V202" i="54"/>
  <c r="U202" i="54"/>
  <c r="R202" i="54"/>
  <c r="Q202" i="54"/>
  <c r="V199" i="54"/>
  <c r="U199" i="54"/>
  <c r="T197" i="54"/>
  <c r="T196" i="54"/>
  <c r="T195" i="54"/>
  <c r="T202" i="54" s="1"/>
  <c r="AB186" i="54"/>
  <c r="AA186" i="54"/>
  <c r="Z186" i="54"/>
  <c r="Y186" i="54"/>
  <c r="X186" i="54"/>
  <c r="W186" i="54"/>
  <c r="V186" i="54"/>
  <c r="U186" i="54"/>
  <c r="T186" i="54"/>
  <c r="V189" i="54"/>
  <c r="U189" i="54"/>
  <c r="U183" i="54"/>
  <c r="V183" i="54"/>
  <c r="W183" i="54"/>
  <c r="T183" i="54"/>
  <c r="T176" i="54"/>
  <c r="T177" i="54"/>
  <c r="T175" i="54"/>
  <c r="T189" i="54" s="1"/>
  <c r="R193" i="54"/>
  <c r="Q193" i="54"/>
  <c r="W192" i="54"/>
  <c r="V192" i="54"/>
  <c r="U192" i="54"/>
  <c r="T192" i="54"/>
  <c r="R192" i="54"/>
  <c r="Q192" i="54"/>
  <c r="U191" i="54"/>
  <c r="T191" i="54"/>
  <c r="R191" i="54"/>
  <c r="Q191" i="54"/>
  <c r="W190" i="54"/>
  <c r="V190" i="54"/>
  <c r="U190" i="54"/>
  <c r="T190" i="54"/>
  <c r="R190" i="54"/>
  <c r="Q190" i="54"/>
  <c r="AB199" i="54"/>
  <c r="AA199" i="54"/>
  <c r="Z199" i="54"/>
  <c r="Y199" i="54"/>
  <c r="X199" i="54"/>
  <c r="S199" i="54"/>
  <c r="R189" i="54"/>
  <c r="R199" i="54" s="1"/>
  <c r="Q189" i="54"/>
  <c r="Q199" i="54" s="1"/>
  <c r="W179" i="54"/>
  <c r="V179" i="54"/>
  <c r="U179" i="54"/>
  <c r="U166" i="54"/>
  <c r="V166" i="54"/>
  <c r="W166" i="54"/>
  <c r="T164" i="54"/>
  <c r="T165" i="54"/>
  <c r="T163" i="54"/>
  <c r="AB166" i="54"/>
  <c r="AA166" i="54"/>
  <c r="Z166" i="54"/>
  <c r="Y166" i="54"/>
  <c r="X166" i="54"/>
  <c r="S166" i="54"/>
  <c r="R166" i="54"/>
  <c r="Q166" i="54"/>
  <c r="U139" i="54"/>
  <c r="T139" i="54"/>
  <c r="U114" i="54"/>
  <c r="U134" i="54" s="1"/>
  <c r="V114" i="54"/>
  <c r="W114" i="54"/>
  <c r="W134" i="54" s="1"/>
  <c r="T114" i="54"/>
  <c r="T134" i="54" s="1"/>
  <c r="U103" i="54"/>
  <c r="V103" i="54"/>
  <c r="W103" i="54"/>
  <c r="X103" i="54"/>
  <c r="Y103" i="54"/>
  <c r="Z103" i="54"/>
  <c r="AA103" i="54"/>
  <c r="AB103" i="54"/>
  <c r="T103" i="54"/>
  <c r="U70" i="54"/>
  <c r="V70" i="54"/>
  <c r="W70" i="54"/>
  <c r="T70" i="54"/>
  <c r="S70" i="54"/>
  <c r="AB141" i="54"/>
  <c r="AA141" i="54"/>
  <c r="Z141" i="54"/>
  <c r="Y141" i="54"/>
  <c r="X141" i="54"/>
  <c r="S141" i="54"/>
  <c r="R141" i="54"/>
  <c r="Q141" i="54"/>
  <c r="AB140" i="54"/>
  <c r="AA140" i="54"/>
  <c r="Z140" i="54"/>
  <c r="Y140" i="54"/>
  <c r="X140" i="54"/>
  <c r="W140" i="54"/>
  <c r="U140" i="54"/>
  <c r="T140" i="54"/>
  <c r="S140" i="54"/>
  <c r="R140" i="54"/>
  <c r="R131" i="54" s="1"/>
  <c r="Q140" i="54"/>
  <c r="Q131" i="54" s="1"/>
  <c r="AB139" i="54"/>
  <c r="AA139" i="54"/>
  <c r="Z139" i="54"/>
  <c r="Y139" i="54"/>
  <c r="X139" i="54"/>
  <c r="S139" i="54"/>
  <c r="R139" i="54"/>
  <c r="Q139" i="54"/>
  <c r="AB138" i="54"/>
  <c r="AA138" i="54"/>
  <c r="Z138" i="54"/>
  <c r="Y138" i="54"/>
  <c r="X138" i="54"/>
  <c r="U138" i="54"/>
  <c r="T138" i="54"/>
  <c r="S138" i="54"/>
  <c r="R138" i="54"/>
  <c r="Q138" i="54"/>
  <c r="AB137" i="54"/>
  <c r="AA137" i="54"/>
  <c r="Z137" i="54"/>
  <c r="Y137" i="54"/>
  <c r="X137" i="54"/>
  <c r="W137" i="54"/>
  <c r="V137" i="54"/>
  <c r="U137" i="54"/>
  <c r="T137" i="54"/>
  <c r="S137" i="54"/>
  <c r="R137" i="54"/>
  <c r="Q137" i="54"/>
  <c r="W149" i="54"/>
  <c r="V149" i="54"/>
  <c r="U149" i="54"/>
  <c r="T149" i="54"/>
  <c r="AA114" i="54" l="1"/>
  <c r="AA131" i="54" s="1"/>
  <c r="V206" i="54"/>
  <c r="Q134" i="54"/>
  <c r="Q114" i="54" s="1"/>
  <c r="Q103" i="54" s="1"/>
  <c r="Q70" i="54" s="1"/>
  <c r="R134" i="54"/>
  <c r="R114" i="54" s="1"/>
  <c r="R103" i="54" s="1"/>
  <c r="R70" i="54" s="1"/>
  <c r="T179" i="54"/>
  <c r="V193" i="54"/>
  <c r="T166" i="54"/>
  <c r="W193" i="54"/>
  <c r="U193" i="54"/>
  <c r="V139" i="54"/>
  <c r="V141" i="54" s="1"/>
  <c r="W139" i="54"/>
  <c r="W141" i="54" s="1"/>
  <c r="T193" i="54"/>
  <c r="U206" i="54"/>
  <c r="AB15" i="54"/>
  <c r="AB58" i="54" s="1"/>
  <c r="T206" i="54"/>
  <c r="T199" i="54"/>
  <c r="Y114" i="54"/>
  <c r="Y131" i="54" s="1"/>
  <c r="Y134" i="54" s="1"/>
  <c r="Z114" i="54"/>
  <c r="Z131" i="54" s="1"/>
  <c r="Z134" i="54" s="1"/>
  <c r="AB114" i="54"/>
  <c r="U141" i="54"/>
  <c r="T141" i="54"/>
  <c r="AA134" i="54" l="1"/>
  <c r="AA70" i="54"/>
  <c r="AB131" i="54"/>
  <c r="AB134" i="54" s="1"/>
  <c r="Y70" i="54"/>
  <c r="Z70" i="54"/>
  <c r="AB173" i="54"/>
  <c r="AA173" i="54"/>
  <c r="Z173" i="54"/>
  <c r="Y173" i="54"/>
  <c r="R173" i="54"/>
  <c r="R186" i="54" s="1"/>
  <c r="Q173" i="54"/>
  <c r="Q186" i="54" s="1"/>
  <c r="AB172" i="54"/>
  <c r="AA172" i="54"/>
  <c r="Z172" i="54"/>
  <c r="Y172" i="54"/>
  <c r="W172" i="54"/>
  <c r="V172" i="54"/>
  <c r="U172" i="54"/>
  <c r="T172" i="54"/>
  <c r="R172" i="54"/>
  <c r="Q172" i="54"/>
  <c r="AB171" i="54"/>
  <c r="AA171" i="54"/>
  <c r="Z171" i="54"/>
  <c r="Y171" i="54"/>
  <c r="W171" i="54"/>
  <c r="V171" i="54"/>
  <c r="U171" i="54"/>
  <c r="T171" i="54"/>
  <c r="R171" i="54"/>
  <c r="Q171" i="54"/>
  <c r="AB170" i="54"/>
  <c r="AA170" i="54"/>
  <c r="Z170" i="54"/>
  <c r="Y170" i="54"/>
  <c r="W170" i="54"/>
  <c r="V170" i="54"/>
  <c r="U170" i="54"/>
  <c r="T170" i="54"/>
  <c r="R170" i="54"/>
  <c r="R183" i="54" s="1"/>
  <c r="Q170" i="54"/>
  <c r="Q183" i="54" s="1"/>
  <c r="AB169" i="54"/>
  <c r="AA169" i="54"/>
  <c r="Z169" i="54"/>
  <c r="Y169" i="54"/>
  <c r="V169" i="54"/>
  <c r="U169" i="54"/>
  <c r="T169" i="54"/>
  <c r="R169" i="54"/>
  <c r="R179" i="54" s="1"/>
  <c r="Q169" i="54"/>
  <c r="Q179" i="54" s="1"/>
  <c r="AB161" i="54"/>
  <c r="AA161" i="54"/>
  <c r="Z161" i="54"/>
  <c r="Y161" i="54"/>
  <c r="V161" i="54"/>
  <c r="U161" i="54"/>
  <c r="T161" i="54"/>
  <c r="S161" i="54"/>
  <c r="R161" i="54"/>
  <c r="Q161" i="54"/>
  <c r="W161" i="54"/>
  <c r="W169" i="54"/>
  <c r="AB29" i="9"/>
  <c r="AB30" i="9"/>
  <c r="AA30" i="9"/>
  <c r="AA29" i="9"/>
  <c r="Z30" i="9"/>
  <c r="Z29" i="9"/>
  <c r="Y29" i="9"/>
  <c r="W29" i="9"/>
  <c r="W13" i="9"/>
  <c r="W23" i="9"/>
  <c r="V15" i="27"/>
  <c r="Z46" i="9"/>
  <c r="AA46" i="9"/>
  <c r="AB46" i="9"/>
  <c r="X54" i="17"/>
  <c r="Y54" i="17"/>
  <c r="AA54" i="17"/>
  <c r="Z54" i="17"/>
  <c r="AB54" i="17"/>
  <c r="AC36" i="17"/>
  <c r="Y39" i="17"/>
  <c r="Z39" i="17" s="1"/>
  <c r="AA39" i="17" s="1"/>
  <c r="AB39" i="17" s="1"/>
  <c r="X39" i="17"/>
  <c r="V124" i="9"/>
  <c r="W124" i="9" s="1"/>
  <c r="X124" i="9" s="1"/>
  <c r="Y124" i="9" s="1"/>
  <c r="Z124" i="9" s="1"/>
  <c r="AA124" i="9" s="1"/>
  <c r="AB124" i="9" s="1"/>
  <c r="Y30" i="8"/>
  <c r="Z30" i="8"/>
  <c r="AA30" i="8" s="1"/>
  <c r="AB30" i="8" s="1"/>
  <c r="Y82" i="9"/>
  <c r="Z82" i="9" s="1"/>
  <c r="AA82" i="9" s="1"/>
  <c r="AB82" i="9" s="1"/>
  <c r="AC82" i="9" s="1"/>
  <c r="AD89" i="9"/>
  <c r="AD90" i="9"/>
  <c r="AD91" i="9"/>
  <c r="AD85" i="9"/>
  <c r="Y84" i="9"/>
  <c r="Z84" i="9" s="1"/>
  <c r="AA84" i="9" s="1"/>
  <c r="AB84" i="9" s="1"/>
  <c r="AC84" i="9" s="1"/>
  <c r="X83" i="9"/>
  <c r="Y83" i="9"/>
  <c r="Z83" i="9" s="1"/>
  <c r="AA83" i="9" s="1"/>
  <c r="AB83" i="9" s="1"/>
  <c r="V86" i="9"/>
  <c r="W86" i="9"/>
  <c r="T86" i="9"/>
  <c r="U86" i="9"/>
  <c r="AD83" i="9"/>
  <c r="AD84" i="9"/>
  <c r="AD82" i="9"/>
  <c r="AD67" i="9"/>
  <c r="W84" i="9"/>
  <c r="V84" i="9"/>
  <c r="T83" i="9"/>
  <c r="U83" i="9"/>
  <c r="V83" i="9"/>
  <c r="W83" i="9"/>
  <c r="Z64" i="6"/>
  <c r="AA64" i="6"/>
  <c r="AB64" i="6"/>
  <c r="AB70" i="54" l="1"/>
  <c r="W173" i="54"/>
  <c r="U173" i="54"/>
  <c r="V173" i="54"/>
  <c r="T173" i="54"/>
  <c r="U123" i="9"/>
  <c r="AB123" i="9"/>
  <c r="Y67" i="9" l="1"/>
  <c r="Z67" i="9" s="1"/>
  <c r="AA67" i="9" s="1"/>
  <c r="AB67" i="9" s="1"/>
  <c r="AC67" i="9" s="1"/>
  <c r="Y66" i="9"/>
  <c r="Z66" i="9" s="1"/>
  <c r="AA66" i="9" s="1"/>
  <c r="AB66" i="9" s="1"/>
  <c r="AC66" i="9" s="1"/>
  <c r="AC60" i="9"/>
  <c r="AD66" i="9"/>
  <c r="X61" i="9"/>
  <c r="Y61" i="9" s="1"/>
  <c r="Z61" i="9" s="1"/>
  <c r="AA61" i="9" s="1"/>
  <c r="AB61" i="9" s="1"/>
  <c r="AC61" i="9" s="1"/>
  <c r="AD60" i="9"/>
  <c r="AD54" i="9"/>
  <c r="AA29" i="6"/>
  <c r="AC54" i="9"/>
  <c r="AC53" i="9"/>
  <c r="AD53" i="9"/>
  <c r="AD39" i="9"/>
  <c r="AD44" i="9"/>
  <c r="AD34" i="9"/>
  <c r="W15" i="27"/>
  <c r="Y15" i="27" s="1"/>
  <c r="Z15" i="27" s="1"/>
  <c r="AA15" i="27" s="1"/>
  <c r="AB15" i="27" s="1"/>
  <c r="Y114" i="9" l="1"/>
  <c r="Z114" i="9"/>
  <c r="AA114" i="9"/>
  <c r="AB114" i="9"/>
  <c r="W8" i="1"/>
  <c r="Z8" i="1"/>
  <c r="AA8" i="1"/>
  <c r="AB8" i="1"/>
  <c r="Z10" i="1"/>
  <c r="AA10" i="1"/>
  <c r="AB10" i="1"/>
  <c r="AB42" i="6"/>
  <c r="Z128" i="9"/>
  <c r="Z29" i="6" s="1"/>
  <c r="AA128" i="9"/>
  <c r="AB128" i="9"/>
  <c r="AB29" i="6" s="1"/>
  <c r="AA42" i="6"/>
  <c r="AB36" i="6"/>
  <c r="AB36" i="9"/>
  <c r="AC36" i="9" s="1"/>
  <c r="AA36" i="9"/>
  <c r="Z36" i="9"/>
  <c r="AA10" i="17"/>
  <c r="AB10" i="17"/>
  <c r="AA23" i="17"/>
  <c r="AB23" i="17"/>
  <c r="AA30" i="17"/>
  <c r="AB30" i="17"/>
  <c r="AA52" i="17"/>
  <c r="AA72" i="9" s="1"/>
  <c r="AB52" i="17"/>
  <c r="AB72" i="9" s="1"/>
  <c r="AC72" i="9" s="1"/>
  <c r="AA67" i="17"/>
  <c r="AA73" i="9" s="1"/>
  <c r="AB67" i="17"/>
  <c r="AB73" i="9" s="1"/>
  <c r="AC73" i="9" s="1"/>
  <c r="AA76" i="17"/>
  <c r="AB76" i="17"/>
  <c r="AA83" i="17"/>
  <c r="AB83" i="17"/>
  <c r="AA92" i="17"/>
  <c r="AB92" i="17"/>
  <c r="AA99" i="17"/>
  <c r="AA9" i="17" s="1"/>
  <c r="AB99" i="17"/>
  <c r="AB9" i="17" s="1"/>
  <c r="AA106" i="17"/>
  <c r="AA12" i="17" s="1"/>
  <c r="AB106" i="17"/>
  <c r="AB12" i="17" s="1"/>
  <c r="AA112" i="17"/>
  <c r="AA13" i="17" s="1"/>
  <c r="AA40" i="27" s="1"/>
  <c r="AB112" i="17"/>
  <c r="AB13" i="17" s="1"/>
  <c r="AB40" i="27" s="1"/>
  <c r="AA119" i="17"/>
  <c r="AB119" i="17"/>
  <c r="AA125" i="17"/>
  <c r="AB125" i="17"/>
  <c r="AC34" i="9"/>
  <c r="AD29" i="9"/>
  <c r="AD30" i="9"/>
  <c r="AB126" i="17" l="1"/>
  <c r="AB14" i="17" s="1"/>
  <c r="AA126" i="17"/>
  <c r="AA14" i="17" s="1"/>
  <c r="AB31" i="17"/>
  <c r="AB6" i="17" s="1"/>
  <c r="AB34" i="17" s="1"/>
  <c r="AA31" i="17"/>
  <c r="AA6" i="17" s="1"/>
  <c r="AA34" i="17" s="1"/>
  <c r="AB100" i="17"/>
  <c r="AA100" i="17"/>
  <c r="AB84" i="17"/>
  <c r="AB8" i="17" s="1"/>
  <c r="AA84" i="17"/>
  <c r="AA8" i="17" s="1"/>
  <c r="AA68" i="17"/>
  <c r="AA7" i="17" s="1"/>
  <c r="AA39" i="27" s="1"/>
  <c r="AB68" i="17"/>
  <c r="AB7" i="17" s="1"/>
  <c r="AB39" i="27" s="1"/>
  <c r="AA11" i="17" l="1"/>
  <c r="AA15" i="17" s="1"/>
  <c r="AB11" i="17"/>
  <c r="AB15" i="17" s="1"/>
  <c r="AB7" i="1"/>
  <c r="AA7" i="27"/>
  <c r="AA9" i="27" s="1"/>
  <c r="AA12" i="27" s="1"/>
  <c r="AA10" i="27"/>
  <c r="AB10" i="27"/>
  <c r="AA21" i="27"/>
  <c r="AB21" i="27"/>
  <c r="AA23" i="27"/>
  <c r="AB23" i="27"/>
  <c r="AA26" i="27"/>
  <c r="AB26" i="27" s="1"/>
  <c r="AB27" i="27" s="1"/>
  <c r="AA27" i="27"/>
  <c r="AB7" i="27" s="1"/>
  <c r="AA36" i="27"/>
  <c r="AB36" i="27"/>
  <c r="AB42" i="27"/>
  <c r="AA45" i="27"/>
  <c r="AA46" i="27" s="1"/>
  <c r="AA47" i="27" s="1"/>
  <c r="AB45" i="27"/>
  <c r="AB46" i="27" s="1"/>
  <c r="AA55" i="1"/>
  <c r="AA49" i="1"/>
  <c r="AA46" i="1"/>
  <c r="AA43" i="1"/>
  <c r="AA40" i="1"/>
  <c r="AA37" i="1"/>
  <c r="AA25" i="8"/>
  <c r="AA29" i="1" s="1"/>
  <c r="AB25" i="8"/>
  <c r="AB29" i="1" s="1"/>
  <c r="AA43" i="8"/>
  <c r="AA30" i="1" s="1"/>
  <c r="AA50" i="8"/>
  <c r="AB50" i="8"/>
  <c r="AA66" i="8"/>
  <c r="AB66" i="8" s="1"/>
  <c r="AA69" i="8"/>
  <c r="AB69" i="8" s="1"/>
  <c r="AA70" i="8"/>
  <c r="AB70" i="8" s="1"/>
  <c r="AA71" i="8"/>
  <c r="AB71" i="8" s="1"/>
  <c r="AA73" i="8"/>
  <c r="AB73" i="8"/>
  <c r="AA32" i="2"/>
  <c r="AB32" i="2"/>
  <c r="AA33" i="2"/>
  <c r="AB33" i="2" s="1"/>
  <c r="AA34" i="2"/>
  <c r="AB34" i="2"/>
  <c r="AA68" i="2"/>
  <c r="AB68" i="2"/>
  <c r="AE7" i="2"/>
  <c r="AA9" i="6"/>
  <c r="AB9" i="6"/>
  <c r="AA35" i="6"/>
  <c r="AB35" i="6"/>
  <c r="AB37" i="6"/>
  <c r="AB38" i="6"/>
  <c r="AA41" i="6"/>
  <c r="AA43" i="6" s="1"/>
  <c r="AB41" i="6"/>
  <c r="AA54" i="6"/>
  <c r="AA48" i="6"/>
  <c r="AB48" i="6"/>
  <c r="AB53" i="6"/>
  <c r="AA59" i="6"/>
  <c r="AB59" i="6"/>
  <c r="AA9" i="26"/>
  <c r="AA10" i="26"/>
  <c r="AB10" i="26"/>
  <c r="AA14" i="26"/>
  <c r="AB14" i="26" s="1"/>
  <c r="AA15" i="26"/>
  <c r="AB15" i="26"/>
  <c r="AA17" i="26"/>
  <c r="AB17" i="26" s="1"/>
  <c r="AA28" i="26"/>
  <c r="AB28" i="26"/>
  <c r="AA29" i="26"/>
  <c r="AB29" i="26"/>
  <c r="AA32" i="26"/>
  <c r="AB32" i="26" s="1"/>
  <c r="AA33" i="26"/>
  <c r="AB33" i="26"/>
  <c r="AA34" i="26"/>
  <c r="AB34" i="26" s="1"/>
  <c r="AA35" i="26"/>
  <c r="AB35" i="26"/>
  <c r="AA38" i="26"/>
  <c r="AB38" i="26" s="1"/>
  <c r="AA39" i="26"/>
  <c r="AB39" i="26"/>
  <c r="AA42" i="26"/>
  <c r="AB42" i="26"/>
  <c r="AA44" i="26"/>
  <c r="AB44" i="26" s="1"/>
  <c r="AA45" i="26"/>
  <c r="AB45" i="26"/>
  <c r="AA46" i="26"/>
  <c r="AB46" i="26" s="1"/>
  <c r="AA48" i="26"/>
  <c r="AB48" i="26"/>
  <c r="AA52" i="26"/>
  <c r="AB52" i="26"/>
  <c r="AA9" i="1"/>
  <c r="AB9" i="1"/>
  <c r="AA12" i="1"/>
  <c r="AB12" i="1"/>
  <c r="AA25" i="1"/>
  <c r="AB25" i="1"/>
  <c r="AA35" i="1"/>
  <c r="AA50" i="1" s="1"/>
  <c r="AB35" i="1"/>
  <c r="AB50" i="1" s="1"/>
  <c r="AA36" i="1"/>
  <c r="AB36" i="1"/>
  <c r="AB37" i="1"/>
  <c r="AA38" i="1"/>
  <c r="AB38" i="1"/>
  <c r="AA39" i="1"/>
  <c r="AB39" i="1"/>
  <c r="AB40" i="1"/>
  <c r="AA41" i="1"/>
  <c r="AB41" i="1"/>
  <c r="AA42" i="1"/>
  <c r="AB42" i="1"/>
  <c r="AB43" i="1"/>
  <c r="AA44" i="1"/>
  <c r="AB44" i="1"/>
  <c r="AA45" i="1"/>
  <c r="AB45" i="1"/>
  <c r="AB46" i="1"/>
  <c r="AA47" i="1"/>
  <c r="AB47" i="1"/>
  <c r="AA48" i="1"/>
  <c r="AB48" i="1"/>
  <c r="AB49" i="1"/>
  <c r="AB53" i="1"/>
  <c r="AB54" i="1"/>
  <c r="AB55" i="1"/>
  <c r="AB56" i="1"/>
  <c r="AA61" i="1"/>
  <c r="AB61" i="1"/>
  <c r="AA14" i="42"/>
  <c r="AB14" i="42"/>
  <c r="AA18" i="42"/>
  <c r="AA19" i="42" s="1"/>
  <c r="AB18" i="42"/>
  <c r="AB19" i="42"/>
  <c r="AA22" i="42"/>
  <c r="AB22" i="42"/>
  <c r="AB28" i="42" s="1"/>
  <c r="AA23" i="42"/>
  <c r="AB23" i="42"/>
  <c r="AA24" i="42"/>
  <c r="AB24" i="42"/>
  <c r="AA25" i="42"/>
  <c r="AB25" i="42"/>
  <c r="AA29" i="42"/>
  <c r="AB29" i="42"/>
  <c r="AA36" i="42"/>
  <c r="AB36" i="42"/>
  <c r="AA49" i="42"/>
  <c r="AB49" i="42"/>
  <c r="AB53" i="42"/>
  <c r="AB54" i="42"/>
  <c r="AA57" i="42"/>
  <c r="AB57" i="42"/>
  <c r="AB63" i="42" s="1"/>
  <c r="AB66" i="42" s="1"/>
  <c r="AA58" i="42"/>
  <c r="AB58" i="42"/>
  <c r="AA59" i="42"/>
  <c r="AB59" i="42"/>
  <c r="AA60" i="42"/>
  <c r="AB60" i="42"/>
  <c r="AA64" i="42"/>
  <c r="AB64" i="42"/>
  <c r="AB71" i="42"/>
  <c r="AA84" i="42"/>
  <c r="AB84" i="42"/>
  <c r="AB88" i="42"/>
  <c r="AB89" i="42"/>
  <c r="AA92" i="42"/>
  <c r="AB92" i="42"/>
  <c r="AB98" i="42" s="1"/>
  <c r="AB101" i="42" s="1"/>
  <c r="AA93" i="42"/>
  <c r="AB93" i="42"/>
  <c r="AA94" i="42"/>
  <c r="AB94" i="42"/>
  <c r="AA95" i="42"/>
  <c r="AB95" i="42"/>
  <c r="AA99" i="42"/>
  <c r="AB99" i="42"/>
  <c r="AA109" i="42"/>
  <c r="AB109" i="42"/>
  <c r="AA122" i="42"/>
  <c r="AB122" i="42"/>
  <c r="AA126" i="42"/>
  <c r="AA127" i="42" s="1"/>
  <c r="AB126" i="42"/>
  <c r="AB127" i="42" s="1"/>
  <c r="AA130" i="42"/>
  <c r="AA136" i="42" s="1"/>
  <c r="AB130" i="42"/>
  <c r="AB136" i="42" s="1"/>
  <c r="AA131" i="42"/>
  <c r="AB131" i="42"/>
  <c r="AA132" i="42"/>
  <c r="AB132" i="42"/>
  <c r="AA133" i="42"/>
  <c r="AB133" i="42"/>
  <c r="AA137" i="42"/>
  <c r="AB137" i="42"/>
  <c r="AA144" i="42"/>
  <c r="AB144" i="42"/>
  <c r="AA157" i="42"/>
  <c r="AB157" i="42"/>
  <c r="AA165" i="42"/>
  <c r="AB165" i="42"/>
  <c r="AB171" i="42" s="1"/>
  <c r="AA166" i="42"/>
  <c r="AB166" i="42"/>
  <c r="AA167" i="42"/>
  <c r="AB167" i="42"/>
  <c r="AB168" i="42"/>
  <c r="AA172" i="42"/>
  <c r="AB172" i="42"/>
  <c r="AB179" i="42"/>
  <c r="AD11" i="9"/>
  <c r="AD12" i="9"/>
  <c r="AD15" i="9"/>
  <c r="AD17" i="9"/>
  <c r="AD18" i="9"/>
  <c r="AD22" i="9"/>
  <c r="AD23" i="9"/>
  <c r="Z8" i="9"/>
  <c r="AA8" i="9" s="1"/>
  <c r="AB8" i="9" s="1"/>
  <c r="AC8" i="9" s="1"/>
  <c r="AD8" i="9"/>
  <c r="AA9" i="9"/>
  <c r="AB9" i="9" s="1"/>
  <c r="AA41" i="9"/>
  <c r="AB41" i="9"/>
  <c r="AA79" i="9"/>
  <c r="AA22" i="6" s="1"/>
  <c r="AA74" i="9"/>
  <c r="AB74" i="9"/>
  <c r="AA75" i="9"/>
  <c r="AB75" i="9"/>
  <c r="AA76" i="9"/>
  <c r="AB76" i="9"/>
  <c r="AA77" i="9"/>
  <c r="AB77" i="9"/>
  <c r="AA78" i="9"/>
  <c r="AB78" i="9"/>
  <c r="AB79" i="9"/>
  <c r="AA98" i="9"/>
  <c r="AB98" i="9"/>
  <c r="AA99" i="9"/>
  <c r="AB99" i="9" s="1"/>
  <c r="AA101" i="9"/>
  <c r="AB101" i="9" s="1"/>
  <c r="AA102" i="9"/>
  <c r="AB102" i="9"/>
  <c r="AA103" i="9"/>
  <c r="AB103" i="9"/>
  <c r="AA104" i="9"/>
  <c r="AB104" i="9"/>
  <c r="AA105" i="9"/>
  <c r="AB105" i="9" s="1"/>
  <c r="AA121" i="9"/>
  <c r="AB121" i="9"/>
  <c r="AA123" i="9"/>
  <c r="R36" i="10"/>
  <c r="S36" i="10" s="1"/>
  <c r="T36" i="10" s="1"/>
  <c r="U36" i="10" s="1"/>
  <c r="V36" i="10" s="1"/>
  <c r="W36" i="10" s="1"/>
  <c r="X36" i="10" s="1"/>
  <c r="Y36" i="10" s="1"/>
  <c r="Z36" i="10" s="1"/>
  <c r="AA36" i="10" s="1"/>
  <c r="AB36" i="10" s="1"/>
  <c r="AA9" i="54"/>
  <c r="AB9" i="54"/>
  <c r="AA17" i="54"/>
  <c r="AB17" i="54"/>
  <c r="AA22" i="54"/>
  <c r="AB22" i="54"/>
  <c r="AA35" i="54"/>
  <c r="AB35" i="54"/>
  <c r="AA39" i="54"/>
  <c r="AB39" i="54"/>
  <c r="AA43" i="54"/>
  <c r="AB43" i="54"/>
  <c r="AA50" i="54"/>
  <c r="AB50" i="54"/>
  <c r="AA53" i="54"/>
  <c r="AB53" i="54"/>
  <c r="T59" i="54"/>
  <c r="U59" i="54"/>
  <c r="V59" i="54"/>
  <c r="T58" i="54"/>
  <c r="T57" i="54"/>
  <c r="U57" i="54"/>
  <c r="U58" i="54"/>
  <c r="V58" i="54"/>
  <c r="V57" i="54"/>
  <c r="S60" i="54"/>
  <c r="R60" i="54"/>
  <c r="Q60" i="54"/>
  <c r="W59" i="54"/>
  <c r="W58" i="54"/>
  <c r="W57" i="54"/>
  <c r="Z53" i="54"/>
  <c r="Y53" i="54"/>
  <c r="W53" i="54"/>
  <c r="V53" i="54"/>
  <c r="U53" i="54"/>
  <c r="T53" i="54"/>
  <c r="S53" i="54"/>
  <c r="R53" i="54"/>
  <c r="Q53" i="54"/>
  <c r="V45" i="54"/>
  <c r="W45" i="54"/>
  <c r="V46" i="54"/>
  <c r="W46" i="54"/>
  <c r="V47" i="54"/>
  <c r="W47" i="54"/>
  <c r="V48" i="54"/>
  <c r="W48" i="54"/>
  <c r="V49" i="54"/>
  <c r="W49" i="54"/>
  <c r="U46" i="54"/>
  <c r="U47" i="54"/>
  <c r="U48" i="54"/>
  <c r="U49" i="54"/>
  <c r="U45" i="54"/>
  <c r="T46" i="54"/>
  <c r="T47" i="54"/>
  <c r="T48" i="54"/>
  <c r="T49" i="54"/>
  <c r="T45" i="54"/>
  <c r="Z50" i="54"/>
  <c r="Y50" i="54"/>
  <c r="X50" i="54"/>
  <c r="S50" i="54"/>
  <c r="R50" i="54"/>
  <c r="Q50" i="54"/>
  <c r="Z43" i="54"/>
  <c r="Y43" i="54"/>
  <c r="X43" i="54"/>
  <c r="W43" i="54"/>
  <c r="V43" i="54"/>
  <c r="U43" i="54"/>
  <c r="T43" i="54"/>
  <c r="S43" i="54"/>
  <c r="R43" i="54"/>
  <c r="Q43" i="54"/>
  <c r="AB26" i="10"/>
  <c r="AA26" i="10"/>
  <c r="Z39" i="54"/>
  <c r="Y39" i="54"/>
  <c r="X39" i="54"/>
  <c r="W39" i="54"/>
  <c r="V39" i="54"/>
  <c r="U39" i="54"/>
  <c r="T39" i="54"/>
  <c r="S39" i="54"/>
  <c r="R39" i="54"/>
  <c r="Q39" i="54"/>
  <c r="Z35" i="54"/>
  <c r="Y35" i="54"/>
  <c r="X35" i="54"/>
  <c r="U35" i="54"/>
  <c r="S35" i="54"/>
  <c r="R35" i="54"/>
  <c r="Q35" i="54"/>
  <c r="W25" i="54"/>
  <c r="X25" i="54" s="1"/>
  <c r="Y25" i="54" s="1"/>
  <c r="Z25" i="54" s="1"/>
  <c r="AA25" i="54" s="1"/>
  <c r="AB25" i="54" s="1"/>
  <c r="W26" i="54"/>
  <c r="X26" i="54" s="1"/>
  <c r="Y26" i="54" s="1"/>
  <c r="V25" i="54"/>
  <c r="V26" i="54"/>
  <c r="T25" i="54"/>
  <c r="T26" i="54"/>
  <c r="W24" i="54"/>
  <c r="X24" i="54" s="1"/>
  <c r="V24" i="54"/>
  <c r="T24" i="54"/>
  <c r="U29" i="54"/>
  <c r="S29" i="54"/>
  <c r="R29" i="54"/>
  <c r="Q29" i="54"/>
  <c r="Z9" i="54"/>
  <c r="Y9" i="54"/>
  <c r="X9" i="54"/>
  <c r="W9" i="54"/>
  <c r="V9" i="54"/>
  <c r="U9" i="54"/>
  <c r="T9" i="54"/>
  <c r="S9" i="54"/>
  <c r="R9" i="54"/>
  <c r="Q9" i="54"/>
  <c r="T11" i="54"/>
  <c r="T12" i="54"/>
  <c r="T13" i="54"/>
  <c r="AB22" i="6" l="1"/>
  <c r="AC79" i="9"/>
  <c r="V56" i="54"/>
  <c r="Y24" i="54"/>
  <c r="Y56" i="54"/>
  <c r="Y60" i="54" s="1"/>
  <c r="Z26" i="54"/>
  <c r="AA26" i="54" s="1"/>
  <c r="AB26" i="54" s="1"/>
  <c r="T50" i="54"/>
  <c r="X29" i="54"/>
  <c r="U56" i="54"/>
  <c r="U60" i="54" s="1"/>
  <c r="U7" i="9" s="1"/>
  <c r="T56" i="54"/>
  <c r="T60" i="54" s="1"/>
  <c r="T7" i="9" s="1"/>
  <c r="AA42" i="27"/>
  <c r="AA28" i="42"/>
  <c r="AA63" i="42"/>
  <c r="AA66" i="42" s="1"/>
  <c r="AA98" i="42"/>
  <c r="AA171" i="42"/>
  <c r="AB9" i="27"/>
  <c r="AB12" i="27" s="1"/>
  <c r="AB47" i="27"/>
  <c r="AA28" i="27"/>
  <c r="AA29" i="27" s="1"/>
  <c r="AA18" i="27"/>
  <c r="AA7" i="1"/>
  <c r="AA11" i="1" s="1"/>
  <c r="AA13" i="1" s="1"/>
  <c r="AB161" i="42"/>
  <c r="AB162" i="42" s="1"/>
  <c r="AB174" i="42"/>
  <c r="AA179" i="42"/>
  <c r="AA161" i="42"/>
  <c r="AA162" i="42" s="1"/>
  <c r="AA139" i="42"/>
  <c r="AB139" i="42"/>
  <c r="AA88" i="42"/>
  <c r="AA89" i="42" s="1"/>
  <c r="AA71" i="42"/>
  <c r="AA53" i="42"/>
  <c r="AA54" i="42" s="1"/>
  <c r="AB31" i="42"/>
  <c r="AA45" i="8"/>
  <c r="AB43" i="8"/>
  <c r="AB126" i="9"/>
  <c r="AB28" i="6" s="1"/>
  <c r="AA126" i="9"/>
  <c r="AA28" i="6" s="1"/>
  <c r="AA31" i="1"/>
  <c r="AA11" i="6" s="1"/>
  <c r="AB70" i="2"/>
  <c r="AA70" i="2"/>
  <c r="AB49" i="6"/>
  <c r="AA49" i="6"/>
  <c r="AB44" i="6"/>
  <c r="AB9" i="26"/>
  <c r="AA174" i="42"/>
  <c r="AA101" i="42"/>
  <c r="AA31" i="42"/>
  <c r="V60" i="54"/>
  <c r="V7" i="9" s="1"/>
  <c r="W50" i="54"/>
  <c r="W56" i="54"/>
  <c r="W60" i="54" s="1"/>
  <c r="W7" i="9" s="1"/>
  <c r="AC7" i="9" s="1"/>
  <c r="U50" i="54"/>
  <c r="V50" i="54"/>
  <c r="T35" i="54"/>
  <c r="V35" i="54"/>
  <c r="W29" i="54"/>
  <c r="V29" i="54"/>
  <c r="W35" i="54"/>
  <c r="T29" i="54"/>
  <c r="Z24" i="54" l="1"/>
  <c r="Y29" i="54"/>
  <c r="AD7" i="9"/>
  <c r="AA36" i="6"/>
  <c r="AA37" i="6" s="1"/>
  <c r="AB45" i="8"/>
  <c r="AB30" i="1"/>
  <c r="AB31" i="1" s="1"/>
  <c r="AB11" i="6" s="1"/>
  <c r="AA7" i="6"/>
  <c r="AB28" i="27"/>
  <c r="AB29" i="27" s="1"/>
  <c r="AB18" i="27"/>
  <c r="AB19" i="27" s="1"/>
  <c r="Z56" i="54" l="1"/>
  <c r="Z60" i="54" s="1"/>
  <c r="AA24" i="54"/>
  <c r="Z29" i="54"/>
  <c r="AA53" i="6"/>
  <c r="U36" i="8"/>
  <c r="T36" i="8"/>
  <c r="W54" i="8"/>
  <c r="X50" i="8"/>
  <c r="Y50" i="8"/>
  <c r="Z50" i="8"/>
  <c r="W50" i="8"/>
  <c r="T19" i="8"/>
  <c r="T20" i="8"/>
  <c r="B30" i="8"/>
  <c r="V35" i="27"/>
  <c r="W26" i="27"/>
  <c r="X26" i="27" s="1"/>
  <c r="Y26" i="27" s="1"/>
  <c r="Z26" i="27" s="1"/>
  <c r="AD26" i="27"/>
  <c r="AD22" i="27"/>
  <c r="Y7" i="26"/>
  <c r="Z7" i="26" s="1"/>
  <c r="AA7" i="26" s="1"/>
  <c r="V8" i="26"/>
  <c r="W18" i="2"/>
  <c r="AB24" i="54" l="1"/>
  <c r="AA56" i="54"/>
  <c r="AA60" i="54" s="1"/>
  <c r="AA29" i="54"/>
  <c r="AB7" i="26"/>
  <c r="U61" i="2"/>
  <c r="U35" i="27"/>
  <c r="U10" i="27" s="1"/>
  <c r="Z25" i="1"/>
  <c r="T68" i="2"/>
  <c r="S68" i="2"/>
  <c r="AB56" i="54" l="1"/>
  <c r="AB60" i="54" s="1"/>
  <c r="AB29" i="54"/>
  <c r="J27" i="27"/>
  <c r="L27" i="27"/>
  <c r="Z9" i="6"/>
  <c r="Z9" i="1"/>
  <c r="Z12" i="1"/>
  <c r="W10" i="27" l="1"/>
  <c r="X10" i="27"/>
  <c r="Y10" i="27"/>
  <c r="Z10" i="27"/>
  <c r="J42" i="27"/>
  <c r="F52" i="17"/>
  <c r="C40" i="27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Q40" i="27"/>
  <c r="R40" i="27"/>
  <c r="S40" i="27"/>
  <c r="T40" i="27"/>
  <c r="B55" i="17"/>
  <c r="B56" i="17"/>
  <c r="B57" i="17"/>
  <c r="B58" i="17"/>
  <c r="B59" i="17"/>
  <c r="B60" i="17"/>
  <c r="B61" i="17"/>
  <c r="B62" i="17"/>
  <c r="B63" i="17"/>
  <c r="B64" i="17"/>
  <c r="B65" i="17"/>
  <c r="Q16" i="48"/>
  <c r="V72" i="59"/>
  <c r="T49" i="26" l="1"/>
  <c r="U49" i="26"/>
  <c r="R27" i="27"/>
  <c r="S27" i="27"/>
  <c r="T27" i="27"/>
  <c r="B1" i="59" l="1"/>
  <c r="AC83" i="59"/>
  <c r="AC82" i="59"/>
  <c r="AC81" i="59"/>
  <c r="AA80" i="59"/>
  <c r="Z80" i="59"/>
  <c r="Y80" i="59"/>
  <c r="X80" i="59"/>
  <c r="W80" i="59"/>
  <c r="V80" i="59"/>
  <c r="U80" i="59"/>
  <c r="T80" i="59"/>
  <c r="S80" i="59"/>
  <c r="AA79" i="59"/>
  <c r="Z79" i="59"/>
  <c r="Y79" i="59"/>
  <c r="X79" i="59"/>
  <c r="W79" i="59"/>
  <c r="V79" i="59"/>
  <c r="AC78" i="59"/>
  <c r="AC77" i="59"/>
  <c r="AC76" i="59"/>
  <c r="AC75" i="59"/>
  <c r="AC74" i="59"/>
  <c r="AA73" i="59"/>
  <c r="AA8" i="59" s="1"/>
  <c r="Z73" i="59"/>
  <c r="Z8" i="59" s="1"/>
  <c r="Y73" i="59"/>
  <c r="Y8" i="59" s="1"/>
  <c r="X73" i="59"/>
  <c r="X8" i="59" s="1"/>
  <c r="W73" i="59"/>
  <c r="V73" i="59"/>
  <c r="V8" i="59" s="1"/>
  <c r="U73" i="59"/>
  <c r="U8" i="59" s="1"/>
  <c r="T73" i="59"/>
  <c r="T8" i="59" s="1"/>
  <c r="S73" i="59"/>
  <c r="AA72" i="59"/>
  <c r="AA7" i="59" s="1"/>
  <c r="Z72" i="59"/>
  <c r="Z7" i="59" s="1"/>
  <c r="Y72" i="59"/>
  <c r="Y7" i="59" s="1"/>
  <c r="X72" i="59"/>
  <c r="X7" i="59" s="1"/>
  <c r="W72" i="59"/>
  <c r="W7" i="59" s="1"/>
  <c r="V7" i="59"/>
  <c r="U7" i="59"/>
  <c r="T7" i="59"/>
  <c r="S7" i="59"/>
  <c r="AC71" i="59"/>
  <c r="AC70" i="59"/>
  <c r="AC69" i="59"/>
  <c r="AC68" i="59"/>
  <c r="AA66" i="59"/>
  <c r="AA67" i="59" s="1"/>
  <c r="Z66" i="59"/>
  <c r="Z67" i="59" s="1"/>
  <c r="Y66" i="59"/>
  <c r="Y67" i="59" s="1"/>
  <c r="X66" i="59"/>
  <c r="X67" i="59" s="1"/>
  <c r="W66" i="59"/>
  <c r="W67" i="59" s="1"/>
  <c r="V66" i="59"/>
  <c r="V67" i="59" s="1"/>
  <c r="U66" i="59"/>
  <c r="U67" i="59" s="1"/>
  <c r="T66" i="59"/>
  <c r="T67" i="59" s="1"/>
  <c r="S66" i="59"/>
  <c r="S67" i="59" s="1"/>
  <c r="R66" i="59"/>
  <c r="R67" i="59" s="1"/>
  <c r="Q66" i="59"/>
  <c r="Q67" i="59" s="1"/>
  <c r="P66" i="59"/>
  <c r="P67" i="59" s="1"/>
  <c r="O66" i="59"/>
  <c r="O67" i="59" s="1"/>
  <c r="N66" i="59"/>
  <c r="M66" i="59"/>
  <c r="M67" i="59" s="1"/>
  <c r="AC65" i="59"/>
  <c r="AC64" i="59"/>
  <c r="AC63" i="59"/>
  <c r="AC62" i="59"/>
  <c r="AC61" i="59"/>
  <c r="AC60" i="59"/>
  <c r="AA58" i="59"/>
  <c r="AA59" i="59" s="1"/>
  <c r="Z58" i="59"/>
  <c r="Z59" i="59" s="1"/>
  <c r="Y58" i="59"/>
  <c r="Y59" i="59" s="1"/>
  <c r="X58" i="59"/>
  <c r="X59" i="59" s="1"/>
  <c r="W58" i="59"/>
  <c r="W59" i="59" s="1"/>
  <c r="V58" i="59"/>
  <c r="V59" i="59" s="1"/>
  <c r="U58" i="59"/>
  <c r="U59" i="59" s="1"/>
  <c r="T58" i="59"/>
  <c r="T59" i="59" s="1"/>
  <c r="S58" i="59"/>
  <c r="S59" i="59" s="1"/>
  <c r="R58" i="59"/>
  <c r="R59" i="59" s="1"/>
  <c r="Q58" i="59"/>
  <c r="Q59" i="59" s="1"/>
  <c r="P58" i="59"/>
  <c r="P59" i="59" s="1"/>
  <c r="O58" i="59"/>
  <c r="O59" i="59" s="1"/>
  <c r="N58" i="59"/>
  <c r="N59" i="59" s="1"/>
  <c r="M58" i="59"/>
  <c r="M59" i="59" s="1"/>
  <c r="AC57" i="59"/>
  <c r="AC56" i="59"/>
  <c r="AC55" i="59"/>
  <c r="AC54" i="59"/>
  <c r="AA11" i="59"/>
  <c r="Z11" i="59"/>
  <c r="Y11" i="59"/>
  <c r="X11" i="59"/>
  <c r="W11" i="59"/>
  <c r="V11" i="59"/>
  <c r="U11" i="59"/>
  <c r="T11" i="59"/>
  <c r="S11" i="59"/>
  <c r="R11" i="59"/>
  <c r="Q11" i="59"/>
  <c r="P11" i="59"/>
  <c r="O11" i="59"/>
  <c r="N11" i="59"/>
  <c r="M11" i="59"/>
  <c r="AA10" i="59"/>
  <c r="Z10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M10" i="59"/>
  <c r="W8" i="59"/>
  <c r="R8" i="59"/>
  <c r="Q8" i="59"/>
  <c r="P8" i="59"/>
  <c r="O8" i="59"/>
  <c r="N8" i="59"/>
  <c r="M8" i="59"/>
  <c r="R7" i="59"/>
  <c r="Q7" i="59"/>
  <c r="P7" i="59"/>
  <c r="O7" i="59"/>
  <c r="N7" i="59"/>
  <c r="M7" i="59"/>
  <c r="I43" i="58"/>
  <c r="I42" i="58"/>
  <c r="I41" i="58"/>
  <c r="I40" i="58"/>
  <c r="I39" i="58"/>
  <c r="I38" i="58"/>
  <c r="I37" i="58"/>
  <c r="I36" i="58"/>
  <c r="I35" i="58"/>
  <c r="I34" i="58"/>
  <c r="G29" i="58"/>
  <c r="E29" i="58"/>
  <c r="D29" i="58"/>
  <c r="C29" i="58"/>
  <c r="J28" i="58"/>
  <c r="I28" i="58"/>
  <c r="F28" i="58"/>
  <c r="H28" i="58" s="1"/>
  <c r="J27" i="58"/>
  <c r="I27" i="58"/>
  <c r="H27" i="58"/>
  <c r="F27" i="58"/>
  <c r="J26" i="58"/>
  <c r="I26" i="58"/>
  <c r="H26" i="58"/>
  <c r="F26" i="58"/>
  <c r="J25" i="58"/>
  <c r="I25" i="58"/>
  <c r="H25" i="58"/>
  <c r="F25" i="58"/>
  <c r="J24" i="58"/>
  <c r="I24" i="58"/>
  <c r="H24" i="58"/>
  <c r="F24" i="58"/>
  <c r="J23" i="58"/>
  <c r="I23" i="58"/>
  <c r="H23" i="58"/>
  <c r="F23" i="58"/>
  <c r="F29" i="58" s="1"/>
  <c r="J22" i="58"/>
  <c r="I22" i="58"/>
  <c r="H22" i="58"/>
  <c r="F22" i="58"/>
  <c r="J21" i="58"/>
  <c r="I21" i="58"/>
  <c r="H21" i="58"/>
  <c r="F21" i="58"/>
  <c r="I20" i="58"/>
  <c r="H20" i="58"/>
  <c r="F20" i="58"/>
  <c r="F19" i="58"/>
  <c r="H19" i="58" s="1"/>
  <c r="H15" i="58"/>
  <c r="F15" i="58"/>
  <c r="E15" i="58"/>
  <c r="D15" i="58"/>
  <c r="C15" i="58"/>
  <c r="I14" i="58"/>
  <c r="G14" i="58"/>
  <c r="G13" i="58"/>
  <c r="I13" i="58" s="1"/>
  <c r="G12" i="58"/>
  <c r="I12" i="58" s="1"/>
  <c r="J12" i="58" s="1"/>
  <c r="G11" i="58"/>
  <c r="I11" i="58" s="1"/>
  <c r="J11" i="58" s="1"/>
  <c r="I10" i="58"/>
  <c r="G10" i="58"/>
  <c r="G9" i="58"/>
  <c r="I9" i="58" s="1"/>
  <c r="J9" i="58" s="1"/>
  <c r="I8" i="58"/>
  <c r="J8" i="58" s="1"/>
  <c r="G8" i="58"/>
  <c r="I7" i="58"/>
  <c r="G7" i="58"/>
  <c r="I6" i="58"/>
  <c r="J7" i="58" s="1"/>
  <c r="G6" i="58"/>
  <c r="G5" i="58"/>
  <c r="I5" i="58" s="1"/>
  <c r="J5" i="58" s="1"/>
  <c r="I43" i="57"/>
  <c r="I42" i="57"/>
  <c r="I41" i="57"/>
  <c r="I40" i="57"/>
  <c r="I39" i="57"/>
  <c r="I38" i="57"/>
  <c r="I37" i="57"/>
  <c r="I36" i="57"/>
  <c r="I35" i="57"/>
  <c r="I34" i="57"/>
  <c r="G29" i="57"/>
  <c r="E29" i="57"/>
  <c r="D29" i="57"/>
  <c r="C29" i="57"/>
  <c r="J28" i="57"/>
  <c r="I28" i="57"/>
  <c r="F28" i="57"/>
  <c r="H28" i="57" s="1"/>
  <c r="I27" i="57"/>
  <c r="H27" i="57"/>
  <c r="F27" i="57"/>
  <c r="J27" i="57" s="1"/>
  <c r="J26" i="57"/>
  <c r="I26" i="57"/>
  <c r="F26" i="57"/>
  <c r="H26" i="57" s="1"/>
  <c r="I25" i="57"/>
  <c r="H25" i="57"/>
  <c r="F25" i="57"/>
  <c r="J25" i="57" s="1"/>
  <c r="J24" i="57"/>
  <c r="I24" i="57"/>
  <c r="F24" i="57"/>
  <c r="H24" i="57" s="1"/>
  <c r="I23" i="57"/>
  <c r="H23" i="57"/>
  <c r="F23" i="57"/>
  <c r="J23" i="57" s="1"/>
  <c r="J22" i="57"/>
  <c r="I22" i="57"/>
  <c r="F22" i="57"/>
  <c r="H22" i="57" s="1"/>
  <c r="I21" i="57"/>
  <c r="H21" i="57"/>
  <c r="F21" i="57"/>
  <c r="J21" i="57" s="1"/>
  <c r="J20" i="57"/>
  <c r="I20" i="57"/>
  <c r="F20" i="57"/>
  <c r="H20" i="57" s="1"/>
  <c r="F19" i="57"/>
  <c r="H19" i="57" s="1"/>
  <c r="H15" i="57"/>
  <c r="G15" i="57"/>
  <c r="F15" i="57"/>
  <c r="E15" i="57"/>
  <c r="D15" i="57"/>
  <c r="C15" i="57"/>
  <c r="I14" i="57"/>
  <c r="G14" i="57"/>
  <c r="I13" i="57"/>
  <c r="G13" i="57"/>
  <c r="G12" i="57"/>
  <c r="I12" i="57" s="1"/>
  <c r="J12" i="57" s="1"/>
  <c r="G11" i="57"/>
  <c r="I11" i="57" s="1"/>
  <c r="G10" i="57"/>
  <c r="I10" i="57" s="1"/>
  <c r="G9" i="57"/>
  <c r="I9" i="57" s="1"/>
  <c r="J9" i="57" s="1"/>
  <c r="I8" i="57"/>
  <c r="J8" i="57" s="1"/>
  <c r="G8" i="57"/>
  <c r="I7" i="57"/>
  <c r="J7" i="57" s="1"/>
  <c r="G7" i="57"/>
  <c r="I6" i="57"/>
  <c r="J6" i="57" s="1"/>
  <c r="G6" i="57"/>
  <c r="J5" i="57"/>
  <c r="I5" i="57"/>
  <c r="G5" i="57"/>
  <c r="I43" i="49"/>
  <c r="I42" i="49"/>
  <c r="I41" i="49"/>
  <c r="I40" i="49"/>
  <c r="I39" i="49"/>
  <c r="I38" i="49"/>
  <c r="I37" i="49"/>
  <c r="I36" i="49"/>
  <c r="I35" i="49"/>
  <c r="I34" i="49"/>
  <c r="G29" i="49"/>
  <c r="E29" i="49"/>
  <c r="D29" i="49"/>
  <c r="C29" i="49"/>
  <c r="I28" i="49"/>
  <c r="F28" i="49"/>
  <c r="J28" i="49" s="1"/>
  <c r="I27" i="49"/>
  <c r="F27" i="49"/>
  <c r="J27" i="49" s="1"/>
  <c r="I26" i="49"/>
  <c r="F26" i="49"/>
  <c r="J26" i="49" s="1"/>
  <c r="I25" i="49"/>
  <c r="F25" i="49"/>
  <c r="J25" i="49" s="1"/>
  <c r="I24" i="49"/>
  <c r="F24" i="49"/>
  <c r="H24" i="49" s="1"/>
  <c r="I23" i="49"/>
  <c r="F23" i="49"/>
  <c r="I22" i="49"/>
  <c r="F22" i="49"/>
  <c r="H22" i="49" s="1"/>
  <c r="I21" i="49"/>
  <c r="F21" i="49"/>
  <c r="J21" i="49" s="1"/>
  <c r="I20" i="49"/>
  <c r="F20" i="49"/>
  <c r="H20" i="49" s="1"/>
  <c r="F19" i="49"/>
  <c r="H19" i="49" s="1"/>
  <c r="H15" i="49"/>
  <c r="F15" i="49"/>
  <c r="E15" i="49"/>
  <c r="D15" i="49"/>
  <c r="C15" i="49"/>
  <c r="G12" i="49"/>
  <c r="I12" i="49" s="1"/>
  <c r="AC66" i="59" l="1"/>
  <c r="AC73" i="59"/>
  <c r="AC58" i="59"/>
  <c r="AC79" i="59"/>
  <c r="S8" i="59"/>
  <c r="AC80" i="59"/>
  <c r="AC59" i="59"/>
  <c r="N67" i="59"/>
  <c r="AC67" i="59" s="1"/>
  <c r="AC72" i="59"/>
  <c r="J14" i="58"/>
  <c r="J10" i="58"/>
  <c r="J13" i="58"/>
  <c r="G15" i="58"/>
  <c r="J20" i="58"/>
  <c r="J6" i="58"/>
  <c r="I15" i="58"/>
  <c r="J10" i="57"/>
  <c r="J11" i="57"/>
  <c r="J13" i="57"/>
  <c r="I15" i="57"/>
  <c r="J14" i="57"/>
  <c r="F29" i="57"/>
  <c r="H28" i="49"/>
  <c r="H26" i="49"/>
  <c r="J20" i="49"/>
  <c r="J22" i="49"/>
  <c r="J24" i="49"/>
  <c r="F29" i="49"/>
  <c r="H21" i="49"/>
  <c r="H23" i="49"/>
  <c r="H25" i="49"/>
  <c r="H27" i="49"/>
  <c r="J23" i="49"/>
  <c r="AA35" i="48" l="1"/>
  <c r="AA36" i="48" s="1"/>
  <c r="Z26" i="10"/>
  <c r="Z17" i="54"/>
  <c r="Z22" i="54"/>
  <c r="Z12" i="41"/>
  <c r="Z17" i="41"/>
  <c r="Z27" i="41" s="1"/>
  <c r="Z48" i="41" s="1"/>
  <c r="Z23" i="41"/>
  <c r="Z33" i="41"/>
  <c r="Z38" i="41"/>
  <c r="Z42" i="41"/>
  <c r="Z46" i="41"/>
  <c r="Z60" i="41"/>
  <c r="Z61" i="41" s="1"/>
  <c r="Z68" i="41"/>
  <c r="Z73" i="41"/>
  <c r="Z74" i="41" s="1"/>
  <c r="Z84" i="41" s="1"/>
  <c r="Z83" i="41"/>
  <c r="Z10" i="17"/>
  <c r="Z23" i="17"/>
  <c r="Z31" i="17" s="1"/>
  <c r="Z6" i="17" s="1"/>
  <c r="Z30" i="17"/>
  <c r="Z52" i="17"/>
  <c r="Z72" i="9" s="1"/>
  <c r="Z67" i="17"/>
  <c r="Z73" i="9" s="1"/>
  <c r="Z76" i="17"/>
  <c r="Z83" i="17"/>
  <c r="Z84" i="17" s="1"/>
  <c r="Z8" i="17" s="1"/>
  <c r="Z92" i="17"/>
  <c r="Z99" i="17"/>
  <c r="Z9" i="17" s="1"/>
  <c r="Z106" i="17"/>
  <c r="Z12" i="17" s="1"/>
  <c r="Z112" i="17"/>
  <c r="Z13" i="17" s="1"/>
  <c r="Z40" i="27" s="1"/>
  <c r="Z119" i="17"/>
  <c r="Z126" i="17" s="1"/>
  <c r="Z14" i="17" s="1"/>
  <c r="Z125" i="17"/>
  <c r="Z19" i="43"/>
  <c r="Z20" i="43" s="1"/>
  <c r="Z29" i="43"/>
  <c r="Z24" i="42"/>
  <c r="Z25" i="42"/>
  <c r="Z45" i="42"/>
  <c r="Z49" i="42"/>
  <c r="Z53" i="42"/>
  <c r="Z54" i="42" s="1"/>
  <c r="Z59" i="42"/>
  <c r="Z60" i="42"/>
  <c r="Z71" i="42"/>
  <c r="Z80" i="42"/>
  <c r="Z84" i="42" s="1"/>
  <c r="Z88" i="42"/>
  <c r="Z89" i="42" s="1"/>
  <c r="Z94" i="42"/>
  <c r="Z95" i="42"/>
  <c r="Z118" i="42"/>
  <c r="Z122" i="42" s="1"/>
  <c r="Z126" i="42"/>
  <c r="Z132" i="42"/>
  <c r="Z133" i="42"/>
  <c r="Z153" i="42"/>
  <c r="Z157" i="42" s="1"/>
  <c r="Z161" i="42"/>
  <c r="Z162" i="42" s="1"/>
  <c r="Z167" i="42"/>
  <c r="Z168" i="42"/>
  <c r="Y123" i="9"/>
  <c r="Z123" i="9"/>
  <c r="Z41" i="9"/>
  <c r="Z74" i="9"/>
  <c r="Z78" i="9"/>
  <c r="Z104" i="9"/>
  <c r="Z121" i="9"/>
  <c r="Z25" i="8"/>
  <c r="Z43" i="8"/>
  <c r="Z30" i="1" s="1"/>
  <c r="Z69" i="8"/>
  <c r="Z70" i="8"/>
  <c r="Z71" i="8"/>
  <c r="Z7" i="53"/>
  <c r="Z8" i="53"/>
  <c r="Z9" i="53"/>
  <c r="Z10" i="53"/>
  <c r="Z11" i="53"/>
  <c r="Z12" i="53"/>
  <c r="Z13" i="53"/>
  <c r="Z14" i="53"/>
  <c r="Z17" i="53" s="1"/>
  <c r="Z18" i="53" s="1"/>
  <c r="Z15" i="53"/>
  <c r="Z16" i="53"/>
  <c r="Z32" i="53"/>
  <c r="Z34" i="53"/>
  <c r="Z68" i="2"/>
  <c r="Z70" i="2"/>
  <c r="Z28" i="26"/>
  <c r="Z29" i="26"/>
  <c r="Z52" i="26"/>
  <c r="Z23" i="27"/>
  <c r="Z36" i="27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3" i="1"/>
  <c r="Z54" i="1"/>
  <c r="Z55" i="1"/>
  <c r="Z61" i="1"/>
  <c r="Z35" i="6"/>
  <c r="Z41" i="6"/>
  <c r="Z68" i="6"/>
  <c r="Z69" i="6"/>
  <c r="Z70" i="6"/>
  <c r="Y9" i="6"/>
  <c r="Y9" i="1"/>
  <c r="Y10" i="1"/>
  <c r="Y36" i="1"/>
  <c r="Y37" i="1"/>
  <c r="Y39" i="1"/>
  <c r="Y40" i="1"/>
  <c r="Y42" i="1"/>
  <c r="Y43" i="1"/>
  <c r="Y44" i="1"/>
  <c r="Y45" i="1"/>
  <c r="Y46" i="1"/>
  <c r="Y48" i="1"/>
  <c r="Y49" i="1"/>
  <c r="Y61" i="1"/>
  <c r="Y23" i="27"/>
  <c r="Y28" i="26"/>
  <c r="Y29" i="26"/>
  <c r="Y52" i="26"/>
  <c r="Y68" i="2"/>
  <c r="Y70" i="2" s="1"/>
  <c r="Y32" i="53"/>
  <c r="Y34" i="53"/>
  <c r="Y25" i="8"/>
  <c r="Y43" i="8"/>
  <c r="Y30" i="1" s="1"/>
  <c r="Y36" i="9"/>
  <c r="Y41" i="9"/>
  <c r="Y46" i="9"/>
  <c r="Y78" i="9"/>
  <c r="Y125" i="9"/>
  <c r="Y24" i="42"/>
  <c r="Y45" i="42"/>
  <c r="Y38" i="1" s="1"/>
  <c r="Y53" i="42"/>
  <c r="Y54" i="42"/>
  <c r="Y59" i="42"/>
  <c r="Y80" i="42"/>
  <c r="Y41" i="1" s="1"/>
  <c r="Y84" i="42"/>
  <c r="Y88" i="42"/>
  <c r="Y89" i="42"/>
  <c r="Y94" i="42"/>
  <c r="Y95" i="42"/>
  <c r="Y109" i="42"/>
  <c r="Y118" i="42"/>
  <c r="Y122" i="42" s="1"/>
  <c r="Y126" i="42"/>
  <c r="Y127" i="42"/>
  <c r="Y132" i="42"/>
  <c r="Y133" i="42"/>
  <c r="Y153" i="42"/>
  <c r="Y47" i="1" s="1"/>
  <c r="Y161" i="42"/>
  <c r="Y162" i="42"/>
  <c r="Y167" i="42"/>
  <c r="Y168" i="42"/>
  <c r="Y179" i="42"/>
  <c r="Y19" i="43"/>
  <c r="Y20" i="43" s="1"/>
  <c r="Y29" i="43"/>
  <c r="Y10" i="17"/>
  <c r="Y23" i="17"/>
  <c r="Y30" i="17"/>
  <c r="Y75" i="9" s="1"/>
  <c r="Y52" i="17"/>
  <c r="Y72" i="9" s="1"/>
  <c r="Y67" i="17"/>
  <c r="Y73" i="9" s="1"/>
  <c r="Y76" i="17"/>
  <c r="Y84" i="17" s="1"/>
  <c r="Y8" i="17" s="1"/>
  <c r="Y83" i="17"/>
  <c r="Y92" i="17"/>
  <c r="Y99" i="17"/>
  <c r="Y9" i="17"/>
  <c r="Y106" i="17"/>
  <c r="Y12" i="17" s="1"/>
  <c r="Y112" i="17"/>
  <c r="Y13" i="17" s="1"/>
  <c r="Y40" i="27" s="1"/>
  <c r="Y119" i="17"/>
  <c r="Y125" i="17"/>
  <c r="Y77" i="9" s="1"/>
  <c r="Y12" i="41"/>
  <c r="Y17" i="41"/>
  <c r="Y27" i="41"/>
  <c r="Y48" i="41"/>
  <c r="Y23" i="41"/>
  <c r="Y33" i="41"/>
  <c r="Y38" i="41"/>
  <c r="Y42" i="41"/>
  <c r="Y46" i="41"/>
  <c r="Y60" i="41"/>
  <c r="Y61" i="41" s="1"/>
  <c r="Y68" i="41"/>
  <c r="Y25" i="42" s="1"/>
  <c r="Y73" i="41"/>
  <c r="Y60" i="42" s="1"/>
  <c r="Y83" i="41"/>
  <c r="T6" i="50"/>
  <c r="T12" i="50"/>
  <c r="T14" i="50"/>
  <c r="T15" i="50"/>
  <c r="Y17" i="54"/>
  <c r="Y22" i="54"/>
  <c r="Y26" i="10"/>
  <c r="Z35" i="48"/>
  <c r="Z36" i="48" s="1"/>
  <c r="G14" i="49"/>
  <c r="X9" i="6"/>
  <c r="X9" i="1"/>
  <c r="X10" i="1"/>
  <c r="X36" i="1"/>
  <c r="X37" i="1"/>
  <c r="X39" i="1"/>
  <c r="X40" i="1"/>
  <c r="X42" i="1"/>
  <c r="X43" i="1"/>
  <c r="X45" i="1"/>
  <c r="X46" i="1"/>
  <c r="X48" i="1"/>
  <c r="X49" i="1"/>
  <c r="X61" i="1"/>
  <c r="X69" i="27"/>
  <c r="X23" i="27"/>
  <c r="X70" i="27"/>
  <c r="X28" i="26"/>
  <c r="X29" i="26"/>
  <c r="X52" i="26"/>
  <c r="X68" i="2"/>
  <c r="X70" i="2" s="1"/>
  <c r="X32" i="53"/>
  <c r="X34" i="53" s="1"/>
  <c r="X25" i="8"/>
  <c r="X29" i="1" s="1"/>
  <c r="X43" i="8"/>
  <c r="X30" i="1" s="1"/>
  <c r="X36" i="9"/>
  <c r="X41" i="9"/>
  <c r="X46" i="9"/>
  <c r="X78" i="9"/>
  <c r="X123" i="9"/>
  <c r="X125" i="9"/>
  <c r="X24" i="42"/>
  <c r="X45" i="42"/>
  <c r="X59" i="42"/>
  <c r="X80" i="42"/>
  <c r="X41" i="1" s="1"/>
  <c r="X88" i="42"/>
  <c r="X89" i="42"/>
  <c r="X94" i="42"/>
  <c r="X95" i="42"/>
  <c r="X109" i="42"/>
  <c r="X118" i="42"/>
  <c r="X44" i="1" s="1"/>
  <c r="X144" i="42"/>
  <c r="X126" i="42"/>
  <c r="X132" i="42"/>
  <c r="X133" i="42"/>
  <c r="X153" i="42"/>
  <c r="X161" i="42"/>
  <c r="X167" i="42"/>
  <c r="X168" i="42"/>
  <c r="X19" i="43"/>
  <c r="X20" i="43" s="1"/>
  <c r="X29" i="43"/>
  <c r="X10" i="17"/>
  <c r="X23" i="17"/>
  <c r="X74" i="9" s="1"/>
  <c r="X30" i="17"/>
  <c r="X31" i="17" s="1"/>
  <c r="X6" i="17" s="1"/>
  <c r="X52" i="17"/>
  <c r="X72" i="9" s="1"/>
  <c r="X67" i="17"/>
  <c r="X73" i="9" s="1"/>
  <c r="X76" i="17"/>
  <c r="X83" i="17"/>
  <c r="X92" i="17"/>
  <c r="X99" i="17"/>
  <c r="X9" i="17" s="1"/>
  <c r="X106" i="17"/>
  <c r="X12" i="17"/>
  <c r="X112" i="17"/>
  <c r="X13" i="17" s="1"/>
  <c r="X40" i="27" s="1"/>
  <c r="X119" i="17"/>
  <c r="X126" i="17" s="1"/>
  <c r="X14" i="17" s="1"/>
  <c r="X125" i="17"/>
  <c r="X77" i="9" s="1"/>
  <c r="X12" i="41"/>
  <c r="X17" i="41"/>
  <c r="X23" i="41"/>
  <c r="X33" i="41"/>
  <c r="X38" i="41"/>
  <c r="X42" i="41"/>
  <c r="X46" i="41"/>
  <c r="X60" i="41"/>
  <c r="X68" i="41"/>
  <c r="X25" i="42"/>
  <c r="X73" i="41"/>
  <c r="X60" i="42" s="1"/>
  <c r="X83" i="41"/>
  <c r="X84" i="41" s="1"/>
  <c r="S6" i="50"/>
  <c r="S12" i="50"/>
  <c r="S14" i="50"/>
  <c r="S15" i="50"/>
  <c r="X17" i="54"/>
  <c r="X22" i="54"/>
  <c r="X26" i="10"/>
  <c r="Y35" i="48"/>
  <c r="Y36" i="48" s="1"/>
  <c r="G10" i="49"/>
  <c r="I10" i="49" s="1"/>
  <c r="G11" i="49"/>
  <c r="I11" i="49" s="1"/>
  <c r="J11" i="49" s="1"/>
  <c r="G13" i="49"/>
  <c r="I13" i="49" s="1"/>
  <c r="Q29" i="43"/>
  <c r="R29" i="43"/>
  <c r="R19" i="43"/>
  <c r="R20" i="43" s="1"/>
  <c r="R10" i="43"/>
  <c r="R13" i="43" s="1"/>
  <c r="R46" i="9"/>
  <c r="R36" i="9"/>
  <c r="X84" i="27"/>
  <c r="Y18" i="42"/>
  <c r="X84" i="42"/>
  <c r="X27" i="41"/>
  <c r="X48" i="41" s="1"/>
  <c r="X74" i="41"/>
  <c r="X18" i="42"/>
  <c r="X53" i="42"/>
  <c r="X54" i="42" s="1"/>
  <c r="AD128" i="9"/>
  <c r="AD126" i="9"/>
  <c r="AD123" i="9"/>
  <c r="AD121" i="9"/>
  <c r="AD119" i="9"/>
  <c r="AD118" i="9"/>
  <c r="AD117" i="9"/>
  <c r="AD116" i="9"/>
  <c r="AD114" i="9"/>
  <c r="AD111" i="9"/>
  <c r="AD110" i="9"/>
  <c r="AD109" i="9"/>
  <c r="AD107" i="9"/>
  <c r="AD106" i="9"/>
  <c r="AD104" i="9"/>
  <c r="AD103" i="9"/>
  <c r="AD102" i="9"/>
  <c r="AD101" i="9"/>
  <c r="AD100" i="9"/>
  <c r="AD99" i="9"/>
  <c r="AD98" i="9"/>
  <c r="AD97" i="9"/>
  <c r="AD96" i="9"/>
  <c r="AD95" i="9"/>
  <c r="AD94" i="9"/>
  <c r="AD93" i="9"/>
  <c r="AD81" i="9"/>
  <c r="AD80" i="9"/>
  <c r="AD79" i="9"/>
  <c r="AD77" i="9"/>
  <c r="AD70" i="9"/>
  <c r="AD69" i="9"/>
  <c r="AD59" i="9"/>
  <c r="AD58" i="9"/>
  <c r="AD57" i="9"/>
  <c r="AD55" i="9"/>
  <c r="AD52" i="9"/>
  <c r="AD51" i="9"/>
  <c r="AD50" i="9"/>
  <c r="AD48" i="9"/>
  <c r="AD47" i="9"/>
  <c r="AD43" i="9"/>
  <c r="AD42" i="9"/>
  <c r="AD38" i="9"/>
  <c r="AD37" i="9"/>
  <c r="AD33" i="9"/>
  <c r="AD32" i="9"/>
  <c r="AD28" i="9"/>
  <c r="AD27" i="9"/>
  <c r="AB31" i="53"/>
  <c r="AB30" i="53"/>
  <c r="AB29" i="53"/>
  <c r="AB28" i="53"/>
  <c r="AB27" i="53"/>
  <c r="AB26" i="53"/>
  <c r="AB25" i="53"/>
  <c r="AB24" i="53"/>
  <c r="AB23" i="53"/>
  <c r="AB22" i="53"/>
  <c r="AB16" i="53"/>
  <c r="AB15" i="53"/>
  <c r="AB14" i="53"/>
  <c r="AB13" i="53"/>
  <c r="AB12" i="53"/>
  <c r="AB11" i="53"/>
  <c r="AB10" i="53"/>
  <c r="AB9" i="53"/>
  <c r="AB8" i="53"/>
  <c r="AB7" i="53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C48" i="26"/>
  <c r="AC47" i="26"/>
  <c r="AC46" i="26"/>
  <c r="AC45" i="26"/>
  <c r="AC44" i="26"/>
  <c r="AC43" i="26"/>
  <c r="AC42" i="26"/>
  <c r="AC41" i="26"/>
  <c r="AC40" i="26"/>
  <c r="AC39" i="26"/>
  <c r="AC38" i="26"/>
  <c r="AC37" i="26"/>
  <c r="AC36" i="26"/>
  <c r="AC35" i="26"/>
  <c r="AC34" i="26"/>
  <c r="AC33" i="26"/>
  <c r="AC32" i="26"/>
  <c r="AC31" i="26"/>
  <c r="AC21" i="26"/>
  <c r="AC20" i="26"/>
  <c r="AC19" i="26"/>
  <c r="AC18" i="26"/>
  <c r="AC17" i="26"/>
  <c r="AC16" i="26"/>
  <c r="AC15" i="26"/>
  <c r="AC14" i="26"/>
  <c r="AC13" i="26"/>
  <c r="AC12" i="26"/>
  <c r="AC11" i="26"/>
  <c r="AC10" i="26"/>
  <c r="AC9" i="26"/>
  <c r="AC8" i="26"/>
  <c r="AC7" i="26"/>
  <c r="AD34" i="27"/>
  <c r="AD33" i="27"/>
  <c r="AD32" i="27"/>
  <c r="AD31" i="27"/>
  <c r="T125" i="9"/>
  <c r="U125" i="9"/>
  <c r="V125" i="9"/>
  <c r="W125" i="9"/>
  <c r="T123" i="9"/>
  <c r="V123" i="9"/>
  <c r="W123" i="9"/>
  <c r="Y21" i="27"/>
  <c r="Y12" i="1" s="1"/>
  <c r="X21" i="27"/>
  <c r="X12" i="1" s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C49" i="1"/>
  <c r="C48" i="1"/>
  <c r="C46" i="1"/>
  <c r="C45" i="1"/>
  <c r="C43" i="1"/>
  <c r="C42" i="1"/>
  <c r="C40" i="1"/>
  <c r="C37" i="1"/>
  <c r="AD172" i="42"/>
  <c r="C171" i="42"/>
  <c r="AD170" i="42"/>
  <c r="AD169" i="42"/>
  <c r="W168" i="42"/>
  <c r="V168" i="42"/>
  <c r="U168" i="42"/>
  <c r="T168" i="42"/>
  <c r="S168" i="42"/>
  <c r="R168" i="42"/>
  <c r="Q168" i="42"/>
  <c r="P168" i="42"/>
  <c r="O168" i="42"/>
  <c r="N168" i="42"/>
  <c r="M168" i="42"/>
  <c r="L168" i="42"/>
  <c r="L171" i="42"/>
  <c r="K168" i="42"/>
  <c r="K171" i="42" s="1"/>
  <c r="J168" i="42"/>
  <c r="J171" i="42" s="1"/>
  <c r="J174" i="42" s="1"/>
  <c r="I168" i="42"/>
  <c r="I171" i="42" s="1"/>
  <c r="H168" i="42"/>
  <c r="H171" i="42" s="1"/>
  <c r="G168" i="42"/>
  <c r="G171" i="42" s="1"/>
  <c r="F168" i="42"/>
  <c r="F171" i="42" s="1"/>
  <c r="E168" i="42"/>
  <c r="E171" i="42" s="1"/>
  <c r="D168" i="42"/>
  <c r="D171" i="42" s="1"/>
  <c r="W167" i="42"/>
  <c r="V167" i="42"/>
  <c r="U167" i="42"/>
  <c r="T167" i="42"/>
  <c r="S167" i="42"/>
  <c r="R167" i="42"/>
  <c r="R171" i="42" s="1"/>
  <c r="Q167" i="42"/>
  <c r="Q171" i="42" s="1"/>
  <c r="P167" i="42"/>
  <c r="O167" i="42"/>
  <c r="N167" i="42"/>
  <c r="N171" i="42" s="1"/>
  <c r="S166" i="42"/>
  <c r="T166" i="42" s="1"/>
  <c r="Q166" i="42"/>
  <c r="AD166" i="42"/>
  <c r="Q165" i="42"/>
  <c r="AD164" i="42"/>
  <c r="AD163" i="42"/>
  <c r="W161" i="42"/>
  <c r="W162" i="42" s="1"/>
  <c r="V161" i="42"/>
  <c r="U161" i="42"/>
  <c r="T161" i="42"/>
  <c r="S161" i="42"/>
  <c r="R161" i="42"/>
  <c r="Q161" i="42"/>
  <c r="Q162" i="42" s="1"/>
  <c r="P161" i="42"/>
  <c r="O161" i="42"/>
  <c r="N161" i="42"/>
  <c r="N162" i="42" s="1"/>
  <c r="M161" i="42"/>
  <c r="L161" i="42"/>
  <c r="K161" i="42"/>
  <c r="K162" i="42" s="1"/>
  <c r="J161" i="42"/>
  <c r="J162" i="42" s="1"/>
  <c r="I161" i="42"/>
  <c r="H161" i="42"/>
  <c r="G161" i="42"/>
  <c r="F161" i="42"/>
  <c r="E161" i="42"/>
  <c r="D161" i="42"/>
  <c r="C161" i="42"/>
  <c r="AD160" i="42"/>
  <c r="AD159" i="42"/>
  <c r="AD158" i="42"/>
  <c r="AD156" i="42"/>
  <c r="AD155" i="42"/>
  <c r="AD154" i="42"/>
  <c r="W153" i="42"/>
  <c r="W179" i="42"/>
  <c r="Q153" i="42"/>
  <c r="Q157" i="42" s="1"/>
  <c r="P153" i="42"/>
  <c r="P47" i="1" s="1"/>
  <c r="O153" i="42"/>
  <c r="O47" i="1" s="1"/>
  <c r="O179" i="42"/>
  <c r="N153" i="42"/>
  <c r="N179" i="42"/>
  <c r="M153" i="42"/>
  <c r="M179" i="42" s="1"/>
  <c r="L153" i="42"/>
  <c r="L162" i="42" s="1"/>
  <c r="L179" i="42"/>
  <c r="K153" i="42"/>
  <c r="K179" i="42"/>
  <c r="J153" i="42"/>
  <c r="J179" i="42"/>
  <c r="I153" i="42"/>
  <c r="I157" i="42" s="1"/>
  <c r="H153" i="42"/>
  <c r="H47" i="1" s="1"/>
  <c r="H157" i="42"/>
  <c r="G153" i="42"/>
  <c r="G157" i="42"/>
  <c r="F153" i="42"/>
  <c r="F47" i="1" s="1"/>
  <c r="F179" i="42"/>
  <c r="E153" i="42"/>
  <c r="E179" i="42" s="1"/>
  <c r="D153" i="42"/>
  <c r="D179" i="42"/>
  <c r="C153" i="42"/>
  <c r="C179" i="42"/>
  <c r="AD152" i="42"/>
  <c r="AD151" i="42"/>
  <c r="C136" i="42"/>
  <c r="AD135" i="42"/>
  <c r="AD134" i="42"/>
  <c r="W133" i="42"/>
  <c r="V133" i="42"/>
  <c r="U133" i="42"/>
  <c r="T133" i="42"/>
  <c r="S133" i="42"/>
  <c r="R133" i="42"/>
  <c r="Q133" i="42"/>
  <c r="P133" i="42"/>
  <c r="O133" i="42"/>
  <c r="N133" i="42"/>
  <c r="M133" i="42"/>
  <c r="L133" i="42"/>
  <c r="L136" i="42" s="1"/>
  <c r="K133" i="42"/>
  <c r="K136" i="42" s="1"/>
  <c r="J133" i="42"/>
  <c r="J136" i="42" s="1"/>
  <c r="I133" i="42"/>
  <c r="I136" i="42" s="1"/>
  <c r="H133" i="42"/>
  <c r="H136" i="42" s="1"/>
  <c r="G133" i="42"/>
  <c r="G136" i="42" s="1"/>
  <c r="F133" i="42"/>
  <c r="F136" i="42" s="1"/>
  <c r="E133" i="42"/>
  <c r="E136" i="42" s="1"/>
  <c r="D133" i="42"/>
  <c r="D136" i="42" s="1"/>
  <c r="W132" i="42"/>
  <c r="V132" i="42"/>
  <c r="U132" i="42"/>
  <c r="T132" i="42"/>
  <c r="S132" i="42"/>
  <c r="S136" i="42" s="1"/>
  <c r="S116" i="42" s="1"/>
  <c r="S118" i="42" s="1"/>
  <c r="R132" i="42"/>
  <c r="R136" i="42" s="1"/>
  <c r="Q132" i="42"/>
  <c r="P132" i="42"/>
  <c r="O132" i="42"/>
  <c r="N132" i="42"/>
  <c r="Q131" i="42"/>
  <c r="S131" i="42"/>
  <c r="T131" i="42" s="1"/>
  <c r="U131" i="42" s="1"/>
  <c r="V131" i="42" s="1"/>
  <c r="W131" i="42" s="1"/>
  <c r="X131" i="42" s="1"/>
  <c r="Y131" i="42" s="1"/>
  <c r="Z131" i="42" s="1"/>
  <c r="Q130" i="42"/>
  <c r="AD130" i="42" s="1"/>
  <c r="AD129" i="42"/>
  <c r="AD128" i="42"/>
  <c r="W126" i="42"/>
  <c r="W127" i="42" s="1"/>
  <c r="V126" i="42"/>
  <c r="U126" i="42"/>
  <c r="T126" i="42"/>
  <c r="S126" i="42"/>
  <c r="R126" i="42"/>
  <c r="Q126" i="42"/>
  <c r="Q127" i="42" s="1"/>
  <c r="P126" i="42"/>
  <c r="O126" i="42"/>
  <c r="N126" i="42"/>
  <c r="AD126" i="42" s="1"/>
  <c r="M126" i="42"/>
  <c r="L126" i="42"/>
  <c r="K126" i="42"/>
  <c r="J126" i="42"/>
  <c r="J127" i="42" s="1"/>
  <c r="I126" i="42"/>
  <c r="I127" i="42" s="1"/>
  <c r="H126" i="42"/>
  <c r="G126" i="42"/>
  <c r="F126" i="42"/>
  <c r="E126" i="42"/>
  <c r="E127" i="42" s="1"/>
  <c r="D126" i="42"/>
  <c r="C126" i="42"/>
  <c r="AD125" i="42"/>
  <c r="AD124" i="42"/>
  <c r="AD123" i="42"/>
  <c r="AD121" i="42"/>
  <c r="AD120" i="42"/>
  <c r="AD119" i="42"/>
  <c r="W118" i="42"/>
  <c r="W144" i="42" s="1"/>
  <c r="Q118" i="42"/>
  <c r="Q122" i="42" s="1"/>
  <c r="P118" i="42"/>
  <c r="P122" i="42" s="1"/>
  <c r="O118" i="42"/>
  <c r="O144" i="42" s="1"/>
  <c r="N118" i="42"/>
  <c r="N144" i="42" s="1"/>
  <c r="M118" i="42"/>
  <c r="M44" i="1" s="1"/>
  <c r="M144" i="42"/>
  <c r="L118" i="42"/>
  <c r="L44" i="1" s="1"/>
  <c r="L127" i="42"/>
  <c r="K118" i="42"/>
  <c r="K44" i="1" s="1"/>
  <c r="J118" i="42"/>
  <c r="J122" i="42" s="1"/>
  <c r="I118" i="42"/>
  <c r="I122" i="42" s="1"/>
  <c r="I139" i="42" s="1"/>
  <c r="H118" i="42"/>
  <c r="H122" i="42" s="1"/>
  <c r="G118" i="42"/>
  <c r="G144" i="42" s="1"/>
  <c r="F118" i="42"/>
  <c r="F144" i="42" s="1"/>
  <c r="E118" i="42"/>
  <c r="E44" i="1" s="1"/>
  <c r="E144" i="42"/>
  <c r="D118" i="42"/>
  <c r="D127" i="42" s="1"/>
  <c r="D144" i="42"/>
  <c r="C118" i="42"/>
  <c r="C122" i="42" s="1"/>
  <c r="C139" i="42" s="1"/>
  <c r="AD117" i="42"/>
  <c r="AD116" i="42"/>
  <c r="C98" i="42"/>
  <c r="AD97" i="42"/>
  <c r="AD96" i="42"/>
  <c r="W95" i="42"/>
  <c r="V95" i="42"/>
  <c r="U95" i="42"/>
  <c r="T95" i="42"/>
  <c r="S95" i="42"/>
  <c r="R95" i="42"/>
  <c r="Q95" i="42"/>
  <c r="P95" i="42"/>
  <c r="O95" i="42"/>
  <c r="N95" i="42"/>
  <c r="M95" i="42"/>
  <c r="M98" i="42" s="1"/>
  <c r="L95" i="42"/>
  <c r="L98" i="42" s="1"/>
  <c r="K95" i="42"/>
  <c r="K98" i="42" s="1"/>
  <c r="J95" i="42"/>
  <c r="J98" i="42" s="1"/>
  <c r="I95" i="42"/>
  <c r="I98" i="42" s="1"/>
  <c r="H95" i="42"/>
  <c r="H98" i="42" s="1"/>
  <c r="G95" i="42"/>
  <c r="G98" i="42"/>
  <c r="F95" i="42"/>
  <c r="F98" i="42" s="1"/>
  <c r="E95" i="42"/>
  <c r="E98" i="42" s="1"/>
  <c r="D95" i="42"/>
  <c r="D98" i="42" s="1"/>
  <c r="W94" i="42"/>
  <c r="V94" i="42"/>
  <c r="U94" i="42"/>
  <c r="T94" i="42"/>
  <c r="S94" i="42"/>
  <c r="R94" i="42"/>
  <c r="R98" i="42" s="1"/>
  <c r="Q94" i="42"/>
  <c r="P94" i="42"/>
  <c r="O94" i="42"/>
  <c r="O98" i="42" s="1"/>
  <c r="N94" i="42"/>
  <c r="Q93" i="42"/>
  <c r="AD93" i="42" s="1"/>
  <c r="S93" i="42"/>
  <c r="T93" i="42" s="1"/>
  <c r="U93" i="42" s="1"/>
  <c r="V93" i="42" s="1"/>
  <c r="W93" i="42" s="1"/>
  <c r="X93" i="42" s="1"/>
  <c r="Y93" i="42" s="1"/>
  <c r="Z93" i="42" s="1"/>
  <c r="Q92" i="42"/>
  <c r="AD92" i="42" s="1"/>
  <c r="AD91" i="42"/>
  <c r="AD90" i="42"/>
  <c r="W88" i="42"/>
  <c r="V88" i="42"/>
  <c r="U88" i="42"/>
  <c r="T88" i="42"/>
  <c r="S88" i="42"/>
  <c r="R88" i="42"/>
  <c r="R89" i="42" s="1"/>
  <c r="Q88" i="42"/>
  <c r="P88" i="42"/>
  <c r="O88" i="42"/>
  <c r="O89" i="42" s="1"/>
  <c r="N88" i="42"/>
  <c r="M88" i="42"/>
  <c r="L88" i="42"/>
  <c r="K88" i="42"/>
  <c r="J88" i="42"/>
  <c r="J89" i="42" s="1"/>
  <c r="I88" i="42"/>
  <c r="I89" i="42" s="1"/>
  <c r="H88" i="42"/>
  <c r="G88" i="42"/>
  <c r="F88" i="42"/>
  <c r="F89" i="42" s="1"/>
  <c r="E88" i="42"/>
  <c r="D88" i="42"/>
  <c r="D89" i="42" s="1"/>
  <c r="C88" i="42"/>
  <c r="AD87" i="42"/>
  <c r="AD86" i="42"/>
  <c r="AD85" i="42"/>
  <c r="AD83" i="42"/>
  <c r="AD82" i="42"/>
  <c r="AD81" i="42"/>
  <c r="W80" i="42"/>
  <c r="W109" i="42" s="1"/>
  <c r="Q80" i="42"/>
  <c r="Q41" i="1" s="1"/>
  <c r="P80" i="42"/>
  <c r="P89" i="42" s="1"/>
  <c r="O80" i="42"/>
  <c r="N80" i="42"/>
  <c r="N109" i="42" s="1"/>
  <c r="M80" i="42"/>
  <c r="M109" i="42"/>
  <c r="L80" i="42"/>
  <c r="L41" i="1" s="1"/>
  <c r="K80" i="42"/>
  <c r="J80" i="42"/>
  <c r="J84" i="42" s="1"/>
  <c r="I80" i="42"/>
  <c r="H80" i="42"/>
  <c r="H41" i="1" s="1"/>
  <c r="H84" i="42"/>
  <c r="H101" i="42" s="1"/>
  <c r="G80" i="42"/>
  <c r="G84" i="42" s="1"/>
  <c r="G109" i="42"/>
  <c r="F80" i="42"/>
  <c r="F109" i="42" s="1"/>
  <c r="E80" i="42"/>
  <c r="E109" i="42" s="1"/>
  <c r="D80" i="42"/>
  <c r="D41" i="1" s="1"/>
  <c r="D109" i="42"/>
  <c r="C80" i="42"/>
  <c r="C89" i="42" s="1"/>
  <c r="C41" i="1"/>
  <c r="AD79" i="42"/>
  <c r="AD78" i="42"/>
  <c r="W53" i="42"/>
  <c r="V53" i="42"/>
  <c r="U53" i="42"/>
  <c r="T53" i="42"/>
  <c r="S53" i="42"/>
  <c r="R53" i="42"/>
  <c r="Q53" i="42"/>
  <c r="P53" i="42"/>
  <c r="O53" i="42"/>
  <c r="N53" i="42"/>
  <c r="M53" i="42"/>
  <c r="M54" i="42" s="1"/>
  <c r="L53" i="42"/>
  <c r="K53" i="42"/>
  <c r="K54" i="42" s="1"/>
  <c r="J53" i="42"/>
  <c r="J54" i="42" s="1"/>
  <c r="I53" i="42"/>
  <c r="H53" i="42"/>
  <c r="H54" i="42" s="1"/>
  <c r="G53" i="42"/>
  <c r="F53" i="42"/>
  <c r="E53" i="42"/>
  <c r="D53" i="42"/>
  <c r="D54" i="42" s="1"/>
  <c r="C53" i="42"/>
  <c r="W18" i="42"/>
  <c r="V18" i="42"/>
  <c r="U18" i="42"/>
  <c r="T18" i="42"/>
  <c r="S18" i="42"/>
  <c r="R18" i="42"/>
  <c r="Q18" i="42"/>
  <c r="Q19" i="42" s="1"/>
  <c r="P18" i="42"/>
  <c r="O18" i="42"/>
  <c r="N18" i="42"/>
  <c r="M18" i="42"/>
  <c r="L18" i="42"/>
  <c r="K18" i="42"/>
  <c r="J18" i="42"/>
  <c r="J19" i="42" s="1"/>
  <c r="I18" i="42"/>
  <c r="H18" i="42"/>
  <c r="H19" i="42" s="1"/>
  <c r="G18" i="42"/>
  <c r="G19" i="42" s="1"/>
  <c r="F18" i="42"/>
  <c r="E18" i="42"/>
  <c r="D18" i="42"/>
  <c r="C18" i="42"/>
  <c r="G47" i="1"/>
  <c r="G44" i="1"/>
  <c r="C84" i="42"/>
  <c r="C101" i="42"/>
  <c r="N47" i="1"/>
  <c r="D47" i="1"/>
  <c r="W41" i="1"/>
  <c r="J41" i="1"/>
  <c r="M41" i="1"/>
  <c r="M84" i="42"/>
  <c r="J157" i="42"/>
  <c r="K47" i="1"/>
  <c r="W44" i="1"/>
  <c r="J44" i="1"/>
  <c r="I41" i="1"/>
  <c r="E84" i="42"/>
  <c r="E101" i="42" s="1"/>
  <c r="W84" i="42"/>
  <c r="K127" i="42"/>
  <c r="W47" i="1"/>
  <c r="J47" i="1"/>
  <c r="Q44" i="1"/>
  <c r="I44" i="1"/>
  <c r="Q47" i="1"/>
  <c r="I47" i="1"/>
  <c r="H44" i="1"/>
  <c r="G41" i="1"/>
  <c r="H89" i="42"/>
  <c r="W122" i="42"/>
  <c r="P144" i="42"/>
  <c r="W157" i="42"/>
  <c r="I84" i="42"/>
  <c r="S172" i="42"/>
  <c r="T172" i="42" s="1"/>
  <c r="U172" i="42" s="1"/>
  <c r="V172" i="42" s="1"/>
  <c r="W172" i="42" s="1"/>
  <c r="X172" i="42" s="1"/>
  <c r="Y172" i="42" s="1"/>
  <c r="Z172" i="42" s="1"/>
  <c r="I162" i="42"/>
  <c r="G179" i="42"/>
  <c r="E89" i="42"/>
  <c r="M89" i="42"/>
  <c r="G122" i="42"/>
  <c r="G139" i="42" s="1"/>
  <c r="C47" i="1"/>
  <c r="C162" i="42"/>
  <c r="D162" i="42"/>
  <c r="D157" i="42"/>
  <c r="I179" i="42"/>
  <c r="Q179" i="42"/>
  <c r="C157" i="42"/>
  <c r="C174" i="42" s="1"/>
  <c r="S165" i="42"/>
  <c r="H179" i="42"/>
  <c r="M157" i="42"/>
  <c r="K157" i="42"/>
  <c r="N157" i="42"/>
  <c r="H162" i="42"/>
  <c r="AD165" i="42"/>
  <c r="R118" i="42"/>
  <c r="R122" i="42" s="1"/>
  <c r="R44" i="1"/>
  <c r="S130" i="42"/>
  <c r="T130" i="42" s="1"/>
  <c r="S137" i="42"/>
  <c r="T137" i="42" s="1"/>
  <c r="U137" i="42" s="1"/>
  <c r="V137" i="42" s="1"/>
  <c r="W137" i="42" s="1"/>
  <c r="X137" i="42" s="1"/>
  <c r="Y137" i="42" s="1"/>
  <c r="Z137" i="42" s="1"/>
  <c r="I144" i="42"/>
  <c r="Q144" i="42"/>
  <c r="E122" i="42"/>
  <c r="M122" i="42"/>
  <c r="N127" i="42"/>
  <c r="J144" i="42"/>
  <c r="AD131" i="42"/>
  <c r="AD137" i="42"/>
  <c r="S99" i="42"/>
  <c r="T99" i="42" s="1"/>
  <c r="U99" i="42" s="1"/>
  <c r="V99" i="42" s="1"/>
  <c r="W99" i="42" s="1"/>
  <c r="X99" i="42" s="1"/>
  <c r="Y99" i="42" s="1"/>
  <c r="Z99" i="42" s="1"/>
  <c r="R80" i="42"/>
  <c r="R41" i="1" s="1"/>
  <c r="S92" i="42"/>
  <c r="H109" i="42"/>
  <c r="D84" i="42"/>
  <c r="I109" i="42"/>
  <c r="N84" i="42"/>
  <c r="C109" i="42"/>
  <c r="AD80" i="42"/>
  <c r="AD99" i="42"/>
  <c r="B99" i="9"/>
  <c r="B100" i="9"/>
  <c r="B101" i="9"/>
  <c r="B102" i="9"/>
  <c r="B103" i="9"/>
  <c r="B98" i="9"/>
  <c r="R153" i="42"/>
  <c r="R157" i="42" s="1"/>
  <c r="R47" i="1"/>
  <c r="T165" i="42"/>
  <c r="U165" i="42" s="1"/>
  <c r="V165" i="42" s="1"/>
  <c r="W165" i="42" s="1"/>
  <c r="X165" i="42" s="1"/>
  <c r="T92" i="42"/>
  <c r="R84" i="42"/>
  <c r="R109" i="42"/>
  <c r="U92" i="42"/>
  <c r="V92" i="42" s="1"/>
  <c r="W9" i="6"/>
  <c r="W9" i="1"/>
  <c r="W10" i="1"/>
  <c r="W61" i="1"/>
  <c r="W69" i="27"/>
  <c r="W23" i="27"/>
  <c r="W28" i="26"/>
  <c r="W29" i="26"/>
  <c r="W68" i="2"/>
  <c r="W70" i="2" s="1"/>
  <c r="W32" i="53"/>
  <c r="W34" i="53"/>
  <c r="W25" i="8"/>
  <c r="W29" i="1" s="1"/>
  <c r="W43" i="8"/>
  <c r="W30" i="1" s="1"/>
  <c r="W36" i="9"/>
  <c r="W41" i="9"/>
  <c r="W46" i="9"/>
  <c r="W78" i="9"/>
  <c r="W24" i="42"/>
  <c r="W59" i="42"/>
  <c r="W19" i="43"/>
  <c r="W20" i="43" s="1"/>
  <c r="W10" i="17"/>
  <c r="W23" i="17"/>
  <c r="W74" i="9" s="1"/>
  <c r="W30" i="17"/>
  <c r="W75" i="9" s="1"/>
  <c r="W52" i="17"/>
  <c r="W72" i="9" s="1"/>
  <c r="W67" i="17"/>
  <c r="W73" i="9" s="1"/>
  <c r="W76" i="17"/>
  <c r="W83" i="17"/>
  <c r="W92" i="17"/>
  <c r="W99" i="17"/>
  <c r="W9" i="17" s="1"/>
  <c r="W106" i="17"/>
  <c r="W12" i="17" s="1"/>
  <c r="W112" i="17"/>
  <c r="W13" i="17" s="1"/>
  <c r="W40" i="27" s="1"/>
  <c r="W119" i="17"/>
  <c r="W76" i="9" s="1"/>
  <c r="W125" i="17"/>
  <c r="W77" i="9" s="1"/>
  <c r="W12" i="41"/>
  <c r="W17" i="41"/>
  <c r="W23" i="41"/>
  <c r="W27" i="41" s="1"/>
  <c r="W48" i="41" s="1"/>
  <c r="W33" i="41"/>
  <c r="W38" i="41"/>
  <c r="W42" i="41"/>
  <c r="W46" i="41"/>
  <c r="W60" i="41"/>
  <c r="W68" i="41"/>
  <c r="W25" i="42"/>
  <c r="W73" i="41"/>
  <c r="W74" i="41" s="1"/>
  <c r="W83" i="41"/>
  <c r="W84" i="41" s="1"/>
  <c r="R6" i="50"/>
  <c r="R12" i="50"/>
  <c r="R14" i="50"/>
  <c r="R15" i="50"/>
  <c r="W17" i="54"/>
  <c r="W22" i="54"/>
  <c r="V17" i="54"/>
  <c r="V22" i="54"/>
  <c r="W26" i="10"/>
  <c r="X35" i="48"/>
  <c r="X36" i="48" s="1"/>
  <c r="W71" i="27"/>
  <c r="W83" i="27"/>
  <c r="W70" i="27"/>
  <c r="W78" i="27"/>
  <c r="W82" i="27"/>
  <c r="W72" i="27"/>
  <c r="W84" i="27"/>
  <c r="W77" i="27"/>
  <c r="W76" i="27"/>
  <c r="W52" i="26"/>
  <c r="W21" i="27"/>
  <c r="W12" i="1" s="1"/>
  <c r="W29" i="43"/>
  <c r="W35" i="48"/>
  <c r="W36" i="48" s="1"/>
  <c r="V35" i="48"/>
  <c r="V36" i="48" s="1"/>
  <c r="U35" i="48"/>
  <c r="U36" i="48" s="1"/>
  <c r="T35" i="48"/>
  <c r="T36" i="48" s="1"/>
  <c r="S35" i="48"/>
  <c r="S36" i="48" s="1"/>
  <c r="R35" i="48"/>
  <c r="R36" i="48" s="1"/>
  <c r="Q35" i="48"/>
  <c r="Q36" i="48" s="1"/>
  <c r="P35" i="48"/>
  <c r="P36" i="48" s="1"/>
  <c r="O35" i="48"/>
  <c r="O36" i="48"/>
  <c r="N35" i="48"/>
  <c r="N36" i="48" s="1"/>
  <c r="M35" i="48"/>
  <c r="M36" i="48" s="1"/>
  <c r="AC34" i="48"/>
  <c r="AC33" i="48"/>
  <c r="AC32" i="48"/>
  <c r="N16" i="48"/>
  <c r="O16" i="48"/>
  <c r="P16" i="48"/>
  <c r="Q18" i="48"/>
  <c r="R16" i="48"/>
  <c r="N17" i="48"/>
  <c r="O17" i="48"/>
  <c r="P17" i="48"/>
  <c r="Q17" i="48"/>
  <c r="R17" i="48"/>
  <c r="L28" i="48"/>
  <c r="M19" i="48" s="1"/>
  <c r="M26" i="48" s="1"/>
  <c r="M17" i="48"/>
  <c r="M16" i="48"/>
  <c r="M18" i="48"/>
  <c r="N18" i="48"/>
  <c r="S78" i="9"/>
  <c r="T78" i="9"/>
  <c r="U78" i="9"/>
  <c r="V78" i="9"/>
  <c r="S10" i="17"/>
  <c r="T10" i="17"/>
  <c r="U10" i="17"/>
  <c r="V10" i="17"/>
  <c r="D14" i="48"/>
  <c r="E14" i="48"/>
  <c r="F14" i="48"/>
  <c r="G14" i="48"/>
  <c r="H14" i="48"/>
  <c r="I14" i="48"/>
  <c r="J14" i="48"/>
  <c r="K14" i="48"/>
  <c r="L14" i="48"/>
  <c r="M14" i="48"/>
  <c r="N14" i="48"/>
  <c r="O14" i="48"/>
  <c r="P14" i="48"/>
  <c r="Q14" i="48"/>
  <c r="R14" i="48"/>
  <c r="W13" i="48"/>
  <c r="X13" i="48" s="1"/>
  <c r="Y13" i="48" s="1"/>
  <c r="Z13" i="48" s="1"/>
  <c r="AA13" i="48" s="1"/>
  <c r="AC13" i="48"/>
  <c r="W11" i="48"/>
  <c r="W12" i="48"/>
  <c r="X12" i="48" s="1"/>
  <c r="Y12" i="48" s="1"/>
  <c r="Z12" i="48" s="1"/>
  <c r="AA12" i="48" s="1"/>
  <c r="AC10" i="48"/>
  <c r="AC12" i="48"/>
  <c r="C14" i="48"/>
  <c r="AC11" i="48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C61" i="1"/>
  <c r="N59" i="42"/>
  <c r="N63" i="42" s="1"/>
  <c r="O59" i="42"/>
  <c r="P59" i="42"/>
  <c r="R59" i="42"/>
  <c r="R63" i="42" s="1"/>
  <c r="S59" i="42"/>
  <c r="T59" i="42"/>
  <c r="U59" i="42"/>
  <c r="V59" i="42"/>
  <c r="Q59" i="42"/>
  <c r="N24" i="42"/>
  <c r="O24" i="42"/>
  <c r="P24" i="42"/>
  <c r="R24" i="42"/>
  <c r="S24" i="42"/>
  <c r="T24" i="42"/>
  <c r="U24" i="42"/>
  <c r="V24" i="42"/>
  <c r="Q24" i="42"/>
  <c r="O128" i="9"/>
  <c r="O29" i="6" s="1"/>
  <c r="N128" i="9"/>
  <c r="M128" i="9"/>
  <c r="L128" i="9"/>
  <c r="K128" i="9"/>
  <c r="K29" i="6" s="1"/>
  <c r="J128" i="9"/>
  <c r="I128" i="9"/>
  <c r="H128" i="9"/>
  <c r="H29" i="6" s="1"/>
  <c r="G128" i="9"/>
  <c r="F128" i="9"/>
  <c r="F29" i="6" s="1"/>
  <c r="E128" i="9"/>
  <c r="E29" i="6" s="1"/>
  <c r="D128" i="9"/>
  <c r="D29" i="6" s="1"/>
  <c r="C128" i="9"/>
  <c r="C29" i="6" s="1"/>
  <c r="P128" i="9"/>
  <c r="AD20" i="42"/>
  <c r="AD21" i="42"/>
  <c r="AD52" i="42"/>
  <c r="AD51" i="42"/>
  <c r="C39" i="1"/>
  <c r="Q57" i="42"/>
  <c r="Q22" i="42"/>
  <c r="AD22" i="42" s="1"/>
  <c r="Y21" i="26"/>
  <c r="Z21" i="26" s="1"/>
  <c r="AA21" i="26" s="1"/>
  <c r="AB21" i="26" s="1"/>
  <c r="Y20" i="26"/>
  <c r="Z20" i="26" s="1"/>
  <c r="AA20" i="26" s="1"/>
  <c r="AB20" i="26" s="1"/>
  <c r="Y19" i="26"/>
  <c r="Z19" i="26" s="1"/>
  <c r="AA19" i="26" s="1"/>
  <c r="AB19" i="26" s="1"/>
  <c r="Y18" i="26"/>
  <c r="Z18" i="26" s="1"/>
  <c r="AA18" i="26" s="1"/>
  <c r="AB18" i="26" s="1"/>
  <c r="V17" i="26"/>
  <c r="W17" i="26" s="1"/>
  <c r="X17" i="26" s="1"/>
  <c r="Y17" i="26" s="1"/>
  <c r="Z17" i="26" s="1"/>
  <c r="V15" i="26"/>
  <c r="W15" i="26" s="1"/>
  <c r="X15" i="26" s="1"/>
  <c r="Y15" i="26" s="1"/>
  <c r="Z15" i="26" s="1"/>
  <c r="V14" i="26"/>
  <c r="W14" i="26" s="1"/>
  <c r="X14" i="26" s="1"/>
  <c r="Y14" i="26" s="1"/>
  <c r="Z14" i="26" s="1"/>
  <c r="W8" i="26"/>
  <c r="X8" i="26" s="1"/>
  <c r="Y8" i="26" s="1"/>
  <c r="Z8" i="26" s="1"/>
  <c r="AA8" i="26" s="1"/>
  <c r="V9" i="26"/>
  <c r="W9" i="26" s="1"/>
  <c r="X9" i="26" s="1"/>
  <c r="Y9" i="26" s="1"/>
  <c r="Z9" i="26" s="1"/>
  <c r="V10" i="26"/>
  <c r="W10" i="26" s="1"/>
  <c r="X10" i="26" s="1"/>
  <c r="Y10" i="26" s="1"/>
  <c r="Z10" i="26" s="1"/>
  <c r="S22" i="42"/>
  <c r="T22" i="42" s="1"/>
  <c r="U22" i="42" s="1"/>
  <c r="V22" i="42" s="1"/>
  <c r="W22" i="42" s="1"/>
  <c r="X22" i="42" s="1"/>
  <c r="Y22" i="42" s="1"/>
  <c r="Z22" i="42" s="1"/>
  <c r="S57" i="42"/>
  <c r="T57" i="42"/>
  <c r="R56" i="54"/>
  <c r="S56" i="54"/>
  <c r="R57" i="54"/>
  <c r="S57" i="54"/>
  <c r="R58" i="54"/>
  <c r="S58" i="54"/>
  <c r="R59" i="54"/>
  <c r="S59" i="54"/>
  <c r="Q59" i="54"/>
  <c r="Q58" i="54"/>
  <c r="Q57" i="54"/>
  <c r="Q56" i="54"/>
  <c r="Q22" i="54"/>
  <c r="S22" i="54"/>
  <c r="T22" i="54"/>
  <c r="U22" i="54"/>
  <c r="R22" i="54"/>
  <c r="R17" i="54"/>
  <c r="S17" i="54"/>
  <c r="T17" i="54"/>
  <c r="U17" i="54"/>
  <c r="Q17" i="54"/>
  <c r="Q47" i="10"/>
  <c r="Q49" i="10" s="1"/>
  <c r="Q37" i="10"/>
  <c r="Q39" i="10"/>
  <c r="Q26" i="10"/>
  <c r="Q28" i="10" s="1"/>
  <c r="R59" i="10"/>
  <c r="S59" i="10" s="1"/>
  <c r="T59" i="10" s="1"/>
  <c r="U59" i="10" s="1"/>
  <c r="V59" i="10" s="1"/>
  <c r="W59" i="10" s="1"/>
  <c r="X59" i="10" s="1"/>
  <c r="Y59" i="10" s="1"/>
  <c r="Z59" i="10" s="1"/>
  <c r="AA59" i="10" s="1"/>
  <c r="AB59" i="10" s="1"/>
  <c r="C125" i="17"/>
  <c r="C77" i="9" s="1"/>
  <c r="D125" i="17"/>
  <c r="D77" i="9" s="1"/>
  <c r="E125" i="17"/>
  <c r="E77" i="9" s="1"/>
  <c r="F125" i="17"/>
  <c r="F77" i="9" s="1"/>
  <c r="G125" i="17"/>
  <c r="G77" i="9" s="1"/>
  <c r="H125" i="17"/>
  <c r="I125" i="17"/>
  <c r="I77" i="9" s="1"/>
  <c r="J125" i="17"/>
  <c r="J77" i="9" s="1"/>
  <c r="K125" i="17"/>
  <c r="K77" i="9" s="1"/>
  <c r="C119" i="17"/>
  <c r="C76" i="9" s="1"/>
  <c r="D119" i="17"/>
  <c r="E119" i="17"/>
  <c r="E76" i="9" s="1"/>
  <c r="F119" i="17"/>
  <c r="F76" i="9" s="1"/>
  <c r="G119" i="17"/>
  <c r="H119" i="17"/>
  <c r="I119" i="17"/>
  <c r="J119" i="17"/>
  <c r="J76" i="9"/>
  <c r="K119" i="17"/>
  <c r="K76" i="9"/>
  <c r="C99" i="17"/>
  <c r="C9" i="17" s="1"/>
  <c r="D99" i="17"/>
  <c r="D9" i="17" s="1"/>
  <c r="E99" i="17"/>
  <c r="E9" i="17" s="1"/>
  <c r="F99" i="17"/>
  <c r="F9" i="17" s="1"/>
  <c r="G99" i="17"/>
  <c r="G9" i="17" s="1"/>
  <c r="H99" i="17"/>
  <c r="H9" i="17" s="1"/>
  <c r="I99" i="17"/>
  <c r="I9" i="17"/>
  <c r="J99" i="17"/>
  <c r="J9" i="17" s="1"/>
  <c r="K99" i="17"/>
  <c r="K9" i="17" s="1"/>
  <c r="C92" i="17"/>
  <c r="D92" i="17"/>
  <c r="E92" i="17"/>
  <c r="F92" i="17"/>
  <c r="G92" i="17"/>
  <c r="H92" i="17"/>
  <c r="H100" i="17" s="1"/>
  <c r="I92" i="17"/>
  <c r="I100" i="17" s="1"/>
  <c r="J92" i="17"/>
  <c r="K92" i="17"/>
  <c r="C83" i="17"/>
  <c r="C84" i="17" s="1"/>
  <c r="C8" i="17" s="1"/>
  <c r="D83" i="17"/>
  <c r="E83" i="17"/>
  <c r="F83" i="17"/>
  <c r="G83" i="17"/>
  <c r="H83" i="17"/>
  <c r="I83" i="17"/>
  <c r="J83" i="17"/>
  <c r="K83" i="17"/>
  <c r="K84" i="17" s="1"/>
  <c r="K8" i="17" s="1"/>
  <c r="C76" i="17"/>
  <c r="D76" i="17"/>
  <c r="D84" i="17" s="1"/>
  <c r="D8" i="17" s="1"/>
  <c r="E76" i="17"/>
  <c r="F76" i="17"/>
  <c r="F84" i="17" s="1"/>
  <c r="F8" i="17" s="1"/>
  <c r="G76" i="17"/>
  <c r="H76" i="17"/>
  <c r="I76" i="17"/>
  <c r="J76" i="17"/>
  <c r="K76" i="17"/>
  <c r="C67" i="17"/>
  <c r="C73" i="9" s="1"/>
  <c r="D67" i="17"/>
  <c r="E67" i="17"/>
  <c r="E73" i="9" s="1"/>
  <c r="F67" i="17"/>
  <c r="F73" i="9" s="1"/>
  <c r="G67" i="17"/>
  <c r="G73" i="9" s="1"/>
  <c r="H67" i="17"/>
  <c r="H73" i="9" s="1"/>
  <c r="I67" i="17"/>
  <c r="I73" i="9" s="1"/>
  <c r="J67" i="17"/>
  <c r="K67" i="17"/>
  <c r="C52" i="17"/>
  <c r="D52" i="17"/>
  <c r="D72" i="9" s="1"/>
  <c r="E52" i="17"/>
  <c r="E72" i="9" s="1"/>
  <c r="F72" i="9"/>
  <c r="G52" i="17"/>
  <c r="H52" i="17"/>
  <c r="H68" i="17" s="1"/>
  <c r="H7" i="17" s="1"/>
  <c r="H39" i="27" s="1"/>
  <c r="I52" i="17"/>
  <c r="J52" i="17"/>
  <c r="J68" i="17" s="1"/>
  <c r="J7" i="17" s="1"/>
  <c r="K52" i="17"/>
  <c r="C30" i="17"/>
  <c r="C75" i="9" s="1"/>
  <c r="D30" i="17"/>
  <c r="D75" i="9" s="1"/>
  <c r="E30" i="17"/>
  <c r="E75" i="9" s="1"/>
  <c r="F30" i="17"/>
  <c r="G30" i="17"/>
  <c r="G31" i="17" s="1"/>
  <c r="G6" i="17" s="1"/>
  <c r="H30" i="17"/>
  <c r="I30" i="17"/>
  <c r="I75" i="9" s="1"/>
  <c r="J30" i="17"/>
  <c r="K30" i="17"/>
  <c r="K75" i="9" s="1"/>
  <c r="C23" i="17"/>
  <c r="C31" i="17" s="1"/>
  <c r="C6" i="17" s="1"/>
  <c r="D23" i="17"/>
  <c r="E23" i="17"/>
  <c r="E74" i="9" s="1"/>
  <c r="F23" i="17"/>
  <c r="F74" i="9" s="1"/>
  <c r="G23" i="17"/>
  <c r="H23" i="17"/>
  <c r="H31" i="17" s="1"/>
  <c r="H6" i="17" s="1"/>
  <c r="I23" i="17"/>
  <c r="J23" i="17"/>
  <c r="J74" i="9" s="1"/>
  <c r="K23" i="17"/>
  <c r="U57" i="42"/>
  <c r="V57" i="42" s="1"/>
  <c r="W57" i="42" s="1"/>
  <c r="X57" i="42" s="1"/>
  <c r="Y57" i="42" s="1"/>
  <c r="Z57" i="42" s="1"/>
  <c r="S14" i="48"/>
  <c r="S17" i="48"/>
  <c r="S16" i="48"/>
  <c r="E100" i="17"/>
  <c r="G76" i="9"/>
  <c r="H76" i="9"/>
  <c r="D126" i="17"/>
  <c r="D76" i="9"/>
  <c r="T14" i="48"/>
  <c r="E31" i="17"/>
  <c r="E6" i="17" s="1"/>
  <c r="V42" i="41"/>
  <c r="U42" i="41"/>
  <c r="T42" i="41"/>
  <c r="S42" i="41"/>
  <c r="R42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E83" i="41"/>
  <c r="F83" i="41"/>
  <c r="G83" i="41"/>
  <c r="G84" i="41" s="1"/>
  <c r="H83" i="41"/>
  <c r="I83" i="41"/>
  <c r="J83" i="41"/>
  <c r="K83" i="41"/>
  <c r="L83" i="41"/>
  <c r="M83" i="41"/>
  <c r="N83" i="41"/>
  <c r="O83" i="41"/>
  <c r="O84" i="41" s="1"/>
  <c r="P83" i="41"/>
  <c r="Q83" i="41"/>
  <c r="R83" i="41"/>
  <c r="S83" i="41"/>
  <c r="T83" i="41"/>
  <c r="U83" i="41"/>
  <c r="V83" i="41"/>
  <c r="D83" i="41"/>
  <c r="D84" i="41" s="1"/>
  <c r="D60" i="41"/>
  <c r="E73" i="41"/>
  <c r="E60" i="42"/>
  <c r="F73" i="41"/>
  <c r="F60" i="42" s="1"/>
  <c r="F63" i="42" s="1"/>
  <c r="G73" i="41"/>
  <c r="G60" i="42"/>
  <c r="H73" i="41"/>
  <c r="H60" i="42" s="1"/>
  <c r="H63" i="42" s="1"/>
  <c r="I73" i="41"/>
  <c r="I60" i="42"/>
  <c r="J73" i="41"/>
  <c r="K73" i="41"/>
  <c r="K60" i="42"/>
  <c r="K63" i="42" s="1"/>
  <c r="K66" i="42" s="1"/>
  <c r="L73" i="41"/>
  <c r="M73" i="41"/>
  <c r="M60" i="42" s="1"/>
  <c r="N73" i="41"/>
  <c r="N60" i="42"/>
  <c r="O73" i="41"/>
  <c r="O60" i="42" s="1"/>
  <c r="P73" i="41"/>
  <c r="P60" i="42"/>
  <c r="Q73" i="41"/>
  <c r="Q74" i="41" s="1"/>
  <c r="Q84" i="41" s="1"/>
  <c r="R73" i="41"/>
  <c r="S73" i="41"/>
  <c r="S60" i="42"/>
  <c r="T73" i="41"/>
  <c r="T60" i="42"/>
  <c r="U73" i="41"/>
  <c r="U60" i="42"/>
  <c r="V73" i="41"/>
  <c r="V60" i="42" s="1"/>
  <c r="E68" i="41"/>
  <c r="E25" i="42"/>
  <c r="F68" i="41"/>
  <c r="F25" i="42"/>
  <c r="F28" i="42" s="1"/>
  <c r="G68" i="41"/>
  <c r="H68" i="41"/>
  <c r="H74" i="41" s="1"/>
  <c r="H84" i="41" s="1"/>
  <c r="I68" i="41"/>
  <c r="I25" i="42" s="1"/>
  <c r="I28" i="42" s="1"/>
  <c r="I36" i="6" s="1"/>
  <c r="I53" i="6" s="1"/>
  <c r="J68" i="41"/>
  <c r="J25" i="42"/>
  <c r="J28" i="42" s="1"/>
  <c r="K68" i="41"/>
  <c r="K25" i="42"/>
  <c r="K28" i="42" s="1"/>
  <c r="L68" i="41"/>
  <c r="L25" i="42"/>
  <c r="L28" i="42" s="1"/>
  <c r="M68" i="41"/>
  <c r="M25" i="42" s="1"/>
  <c r="N68" i="41"/>
  <c r="N25" i="42"/>
  <c r="N28" i="42" s="1"/>
  <c r="O68" i="41"/>
  <c r="P68" i="41"/>
  <c r="Q68" i="41"/>
  <c r="Q25" i="42"/>
  <c r="R68" i="41"/>
  <c r="R25" i="42" s="1"/>
  <c r="R28" i="42" s="1"/>
  <c r="R31" i="42" s="1"/>
  <c r="S68" i="41"/>
  <c r="S25" i="42"/>
  <c r="T68" i="41"/>
  <c r="T25" i="42"/>
  <c r="U68" i="41"/>
  <c r="U25" i="42"/>
  <c r="V68" i="41"/>
  <c r="V25" i="42" s="1"/>
  <c r="D68" i="41"/>
  <c r="D25" i="42"/>
  <c r="D28" i="42" s="1"/>
  <c r="D73" i="41"/>
  <c r="D60" i="42"/>
  <c r="C92" i="9"/>
  <c r="D92" i="9"/>
  <c r="E92" i="9"/>
  <c r="E24" i="6" s="1"/>
  <c r="F92" i="9"/>
  <c r="G92" i="9"/>
  <c r="H92" i="9"/>
  <c r="I92" i="9"/>
  <c r="J92" i="9"/>
  <c r="K92" i="9"/>
  <c r="C86" i="9"/>
  <c r="D86" i="9"/>
  <c r="D23" i="6" s="1"/>
  <c r="E86" i="9"/>
  <c r="F86" i="9"/>
  <c r="F23" i="6" s="1"/>
  <c r="G86" i="9"/>
  <c r="H86" i="9"/>
  <c r="I86" i="9"/>
  <c r="J86" i="9"/>
  <c r="K86" i="9"/>
  <c r="C72" i="9"/>
  <c r="I72" i="9"/>
  <c r="K72" i="9"/>
  <c r="D73" i="9"/>
  <c r="J73" i="9"/>
  <c r="G74" i="9"/>
  <c r="I74" i="9"/>
  <c r="K74" i="9"/>
  <c r="H75" i="9"/>
  <c r="J75" i="9"/>
  <c r="C63" i="9"/>
  <c r="E33" i="41"/>
  <c r="F33" i="41"/>
  <c r="G33" i="41"/>
  <c r="H33" i="41"/>
  <c r="I33" i="41"/>
  <c r="J33" i="41"/>
  <c r="K33" i="41"/>
  <c r="L33" i="41"/>
  <c r="M33" i="41"/>
  <c r="M48" i="41" s="1"/>
  <c r="N33" i="41"/>
  <c r="O33" i="41"/>
  <c r="P33" i="41"/>
  <c r="Q33" i="41"/>
  <c r="R33" i="41"/>
  <c r="S33" i="41"/>
  <c r="T33" i="41"/>
  <c r="U33" i="41"/>
  <c r="V33" i="41"/>
  <c r="D33" i="41"/>
  <c r="D12" i="41"/>
  <c r="E12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D17" i="41"/>
  <c r="E17" i="41"/>
  <c r="F17" i="41"/>
  <c r="G17" i="41"/>
  <c r="H17" i="41"/>
  <c r="I17" i="41"/>
  <c r="I27" i="41" s="1"/>
  <c r="J17" i="41"/>
  <c r="K17" i="41"/>
  <c r="L17" i="41"/>
  <c r="M17" i="41"/>
  <c r="N17" i="41"/>
  <c r="O17" i="41"/>
  <c r="P17" i="41"/>
  <c r="Q17" i="41"/>
  <c r="Q27" i="41" s="1"/>
  <c r="R17" i="41"/>
  <c r="S17" i="41"/>
  <c r="D23" i="41"/>
  <c r="D27" i="41"/>
  <c r="E23" i="41"/>
  <c r="F23" i="41"/>
  <c r="G23" i="41"/>
  <c r="H23" i="41"/>
  <c r="H27" i="41" s="1"/>
  <c r="H48" i="41" s="1"/>
  <c r="I23" i="41"/>
  <c r="J23" i="41"/>
  <c r="K23" i="41"/>
  <c r="L23" i="41"/>
  <c r="M23" i="41"/>
  <c r="N23" i="41"/>
  <c r="O23" i="41"/>
  <c r="O27" i="41" s="1"/>
  <c r="O48" i="41" s="1"/>
  <c r="P23" i="41"/>
  <c r="Q23" i="41"/>
  <c r="R23" i="41"/>
  <c r="S23" i="41"/>
  <c r="D38" i="41"/>
  <c r="E38" i="41"/>
  <c r="F38" i="41"/>
  <c r="G38" i="41"/>
  <c r="H38" i="41"/>
  <c r="I38" i="41"/>
  <c r="J38" i="41"/>
  <c r="K38" i="41"/>
  <c r="L38" i="41"/>
  <c r="M38" i="41"/>
  <c r="N38" i="41"/>
  <c r="N48" i="41" s="1"/>
  <c r="O38" i="41"/>
  <c r="P38" i="41"/>
  <c r="Q38" i="41"/>
  <c r="R38" i="41"/>
  <c r="S38" i="41"/>
  <c r="D46" i="41"/>
  <c r="E46" i="41"/>
  <c r="F46" i="41"/>
  <c r="G46" i="41"/>
  <c r="H46" i="41"/>
  <c r="I46" i="41"/>
  <c r="J46" i="41"/>
  <c r="K46" i="41"/>
  <c r="L46" i="41"/>
  <c r="M46" i="41"/>
  <c r="N46" i="41"/>
  <c r="O46" i="41"/>
  <c r="P46" i="41"/>
  <c r="Q46" i="41"/>
  <c r="R46" i="41"/>
  <c r="S46" i="41"/>
  <c r="E60" i="41"/>
  <c r="F60" i="41"/>
  <c r="G60" i="41"/>
  <c r="H60" i="41"/>
  <c r="I60" i="41"/>
  <c r="J60" i="41"/>
  <c r="K60" i="41"/>
  <c r="L60" i="41"/>
  <c r="M60" i="41"/>
  <c r="N60" i="41"/>
  <c r="O60" i="41"/>
  <c r="P60" i="41"/>
  <c r="Q60" i="41"/>
  <c r="R60" i="41"/>
  <c r="S60" i="41"/>
  <c r="C123" i="9"/>
  <c r="C126" i="9" s="1"/>
  <c r="C28" i="6" s="1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C69" i="9"/>
  <c r="C21" i="6" s="1"/>
  <c r="D69" i="9"/>
  <c r="E69" i="9"/>
  <c r="F69" i="9"/>
  <c r="G69" i="9"/>
  <c r="H69" i="9"/>
  <c r="I69" i="9"/>
  <c r="J69" i="9"/>
  <c r="K69" i="9"/>
  <c r="K21" i="6" s="1"/>
  <c r="L69" i="9"/>
  <c r="M69" i="9"/>
  <c r="M21" i="6" s="1"/>
  <c r="N69" i="9"/>
  <c r="O69" i="9"/>
  <c r="P69" i="9"/>
  <c r="Q69" i="9"/>
  <c r="D63" i="9"/>
  <c r="E63" i="9"/>
  <c r="E20" i="6" s="1"/>
  <c r="F63" i="9"/>
  <c r="G63" i="9"/>
  <c r="G20" i="6" s="1"/>
  <c r="H63" i="9"/>
  <c r="I63" i="9"/>
  <c r="J63" i="9"/>
  <c r="K63" i="9"/>
  <c r="L63" i="9"/>
  <c r="M63" i="9"/>
  <c r="M20" i="6" s="1"/>
  <c r="N63" i="9"/>
  <c r="O63" i="9"/>
  <c r="P63" i="9"/>
  <c r="Q63" i="9"/>
  <c r="C57" i="9"/>
  <c r="D57" i="9"/>
  <c r="E57" i="9"/>
  <c r="F57" i="9"/>
  <c r="F19" i="6" s="1"/>
  <c r="G57" i="9"/>
  <c r="H57" i="9"/>
  <c r="H19" i="6" s="1"/>
  <c r="I57" i="9"/>
  <c r="J57" i="9"/>
  <c r="K57" i="9"/>
  <c r="L57" i="9"/>
  <c r="M57" i="9"/>
  <c r="N57" i="9"/>
  <c r="O57" i="9"/>
  <c r="P57" i="9"/>
  <c r="P19" i="6" s="1"/>
  <c r="Q57" i="9"/>
  <c r="S36" i="9"/>
  <c r="T36" i="9"/>
  <c r="U36" i="9"/>
  <c r="V36" i="9"/>
  <c r="S41" i="9"/>
  <c r="T41" i="9"/>
  <c r="U41" i="9"/>
  <c r="V41" i="9"/>
  <c r="S46" i="9"/>
  <c r="T46" i="9"/>
  <c r="U46" i="9"/>
  <c r="V46" i="9"/>
  <c r="C46" i="9"/>
  <c r="C47" i="9" s="1"/>
  <c r="D46" i="9"/>
  <c r="D47" i="9" s="1"/>
  <c r="E46" i="9"/>
  <c r="E47" i="9" s="1"/>
  <c r="F46" i="9"/>
  <c r="F47" i="9" s="1"/>
  <c r="G46" i="9"/>
  <c r="G47" i="9" s="1"/>
  <c r="H46" i="9"/>
  <c r="H47" i="9" s="1"/>
  <c r="I46" i="9"/>
  <c r="I47" i="9" s="1"/>
  <c r="J46" i="9"/>
  <c r="J47" i="9" s="1"/>
  <c r="K46" i="9"/>
  <c r="K47" i="9" s="1"/>
  <c r="L46" i="9"/>
  <c r="M46" i="9"/>
  <c r="N46" i="9"/>
  <c r="O46" i="9"/>
  <c r="P46" i="9"/>
  <c r="P47" i="9" s="1"/>
  <c r="Q46" i="9"/>
  <c r="Q47" i="9" s="1"/>
  <c r="S40" i="9"/>
  <c r="T40" i="9" s="1"/>
  <c r="U40" i="9" s="1"/>
  <c r="V40" i="9" s="1"/>
  <c r="W40" i="9" s="1"/>
  <c r="X40" i="9" s="1"/>
  <c r="Y40" i="9" s="1"/>
  <c r="Z40" i="9" s="1"/>
  <c r="AA40" i="9" s="1"/>
  <c r="AB40" i="9" s="1"/>
  <c r="K16" i="9"/>
  <c r="J16" i="9"/>
  <c r="J26" i="9" s="1"/>
  <c r="J17" i="6" s="1"/>
  <c r="I16" i="9"/>
  <c r="H16" i="9"/>
  <c r="G16" i="9"/>
  <c r="F16" i="9"/>
  <c r="E16" i="9"/>
  <c r="D16" i="9"/>
  <c r="C16" i="9"/>
  <c r="D21" i="9"/>
  <c r="D26" i="9" s="1"/>
  <c r="D17" i="6" s="1"/>
  <c r="C21" i="9"/>
  <c r="K21" i="9"/>
  <c r="K26" i="9" s="1"/>
  <c r="J21" i="9"/>
  <c r="I21" i="9"/>
  <c r="H21" i="9"/>
  <c r="G21" i="9"/>
  <c r="F21" i="9"/>
  <c r="E21" i="9"/>
  <c r="E26" i="9" s="1"/>
  <c r="E17" i="6" s="1"/>
  <c r="K10" i="9"/>
  <c r="J10" i="9"/>
  <c r="J16" i="6" s="1"/>
  <c r="I10" i="9"/>
  <c r="I16" i="6" s="1"/>
  <c r="H10" i="9"/>
  <c r="G10" i="9"/>
  <c r="F10" i="9"/>
  <c r="E10" i="9"/>
  <c r="D10" i="9"/>
  <c r="D16" i="6" s="1"/>
  <c r="C10" i="9"/>
  <c r="P41" i="9"/>
  <c r="O41" i="9"/>
  <c r="N41" i="9"/>
  <c r="M41" i="9"/>
  <c r="M42" i="9" s="1"/>
  <c r="L41" i="9"/>
  <c r="L42" i="9" s="1"/>
  <c r="K41" i="9"/>
  <c r="K42" i="9" s="1"/>
  <c r="J41" i="9"/>
  <c r="J42" i="9" s="1"/>
  <c r="I41" i="9"/>
  <c r="I42" i="9" s="1"/>
  <c r="H41" i="9"/>
  <c r="H42" i="9" s="1"/>
  <c r="G41" i="9"/>
  <c r="G42" i="9" s="1"/>
  <c r="F41" i="9"/>
  <c r="F42" i="9" s="1"/>
  <c r="E41" i="9"/>
  <c r="E42" i="9" s="1"/>
  <c r="D41" i="9"/>
  <c r="D42" i="9" s="1"/>
  <c r="C41" i="9"/>
  <c r="C42" i="9" s="1"/>
  <c r="Q36" i="9"/>
  <c r="P36" i="9"/>
  <c r="P37" i="9" s="1"/>
  <c r="O36" i="9"/>
  <c r="N36" i="9"/>
  <c r="M36" i="9"/>
  <c r="L36" i="9"/>
  <c r="K36" i="9"/>
  <c r="K37" i="9" s="1"/>
  <c r="J36" i="9"/>
  <c r="J37" i="9" s="1"/>
  <c r="I36" i="9"/>
  <c r="I37" i="9" s="1"/>
  <c r="H36" i="9"/>
  <c r="H37" i="9" s="1"/>
  <c r="G36" i="9"/>
  <c r="G37" i="9" s="1"/>
  <c r="F36" i="9"/>
  <c r="F37" i="9" s="1"/>
  <c r="E36" i="9"/>
  <c r="E37" i="9" s="1"/>
  <c r="D36" i="9"/>
  <c r="D37" i="9" s="1"/>
  <c r="C36" i="9"/>
  <c r="C37" i="9" s="1"/>
  <c r="S35" i="9"/>
  <c r="T35" i="9"/>
  <c r="S8" i="53"/>
  <c r="T8" i="53" s="1"/>
  <c r="U8" i="53" s="1"/>
  <c r="V8" i="53" s="1"/>
  <c r="W8" i="53" s="1"/>
  <c r="X8" i="53" s="1"/>
  <c r="Y8" i="53" s="1"/>
  <c r="S9" i="53"/>
  <c r="T9" i="53" s="1"/>
  <c r="U9" i="53" s="1"/>
  <c r="V9" i="53" s="1"/>
  <c r="W9" i="53" s="1"/>
  <c r="X9" i="53" s="1"/>
  <c r="Y9" i="53" s="1"/>
  <c r="S10" i="53"/>
  <c r="T10" i="53" s="1"/>
  <c r="U10" i="53" s="1"/>
  <c r="V10" i="53" s="1"/>
  <c r="W10" i="53" s="1"/>
  <c r="X10" i="53" s="1"/>
  <c r="Y10" i="53" s="1"/>
  <c r="S11" i="53"/>
  <c r="T11" i="53"/>
  <c r="U11" i="53" s="1"/>
  <c r="V11" i="53" s="1"/>
  <c r="W11" i="53" s="1"/>
  <c r="X11" i="53" s="1"/>
  <c r="Y11" i="53" s="1"/>
  <c r="S12" i="53"/>
  <c r="T12" i="53" s="1"/>
  <c r="U12" i="53" s="1"/>
  <c r="V12" i="53" s="1"/>
  <c r="W12" i="53" s="1"/>
  <c r="X12" i="53" s="1"/>
  <c r="Y12" i="53" s="1"/>
  <c r="S13" i="53"/>
  <c r="T13" i="53" s="1"/>
  <c r="U13" i="53" s="1"/>
  <c r="V13" i="53" s="1"/>
  <c r="W13" i="53" s="1"/>
  <c r="X13" i="53" s="1"/>
  <c r="Y13" i="53" s="1"/>
  <c r="S14" i="53"/>
  <c r="T14" i="53" s="1"/>
  <c r="U14" i="53" s="1"/>
  <c r="V14" i="53" s="1"/>
  <c r="W14" i="53" s="1"/>
  <c r="X14" i="53" s="1"/>
  <c r="Y14" i="53" s="1"/>
  <c r="S15" i="53"/>
  <c r="T15" i="53"/>
  <c r="U15" i="53" s="1"/>
  <c r="V15" i="53" s="1"/>
  <c r="W15" i="53" s="1"/>
  <c r="X15" i="53" s="1"/>
  <c r="Y15" i="53" s="1"/>
  <c r="S16" i="53"/>
  <c r="T16" i="53" s="1"/>
  <c r="U16" i="53" s="1"/>
  <c r="V16" i="53" s="1"/>
  <c r="W16" i="53" s="1"/>
  <c r="X16" i="53" s="1"/>
  <c r="Y16" i="53" s="1"/>
  <c r="S7" i="53"/>
  <c r="T7" i="53" s="1"/>
  <c r="O74" i="41"/>
  <c r="G74" i="41"/>
  <c r="H26" i="9"/>
  <c r="H17" i="6" s="1"/>
  <c r="G26" i="9"/>
  <c r="F26" i="9"/>
  <c r="S18" i="48"/>
  <c r="D48" i="41"/>
  <c r="D61" i="41" s="1"/>
  <c r="P27" i="41"/>
  <c r="P48" i="41" s="1"/>
  <c r="C26" i="9"/>
  <c r="C17" i="6" s="1"/>
  <c r="I26" i="9"/>
  <c r="I17" i="6" s="1"/>
  <c r="K27" i="41"/>
  <c r="K48" i="41"/>
  <c r="K121" i="9"/>
  <c r="L74" i="41"/>
  <c r="L84" i="41" s="1"/>
  <c r="R27" i="41"/>
  <c r="R48" i="41" s="1"/>
  <c r="J27" i="41"/>
  <c r="J48" i="41"/>
  <c r="J61" i="41" s="1"/>
  <c r="P74" i="41"/>
  <c r="P84" i="41"/>
  <c r="R74" i="41"/>
  <c r="R84" i="41"/>
  <c r="J74" i="41"/>
  <c r="J84" i="41"/>
  <c r="L60" i="42"/>
  <c r="P25" i="42"/>
  <c r="O25" i="42"/>
  <c r="G25" i="42"/>
  <c r="G28" i="42" s="1"/>
  <c r="G36" i="6" s="1"/>
  <c r="G53" i="6" s="1"/>
  <c r="R60" i="42"/>
  <c r="J60" i="42"/>
  <c r="J63" i="42" s="1"/>
  <c r="U14" i="48"/>
  <c r="S74" i="41"/>
  <c r="S84" i="41"/>
  <c r="S27" i="41"/>
  <c r="S48" i="41" s="1"/>
  <c r="N27" i="41"/>
  <c r="F27" i="41"/>
  <c r="F48" i="41" s="1"/>
  <c r="L27" i="41"/>
  <c r="L48" i="41"/>
  <c r="L88" i="41"/>
  <c r="T74" i="41"/>
  <c r="T84" i="41" s="1"/>
  <c r="G27" i="41"/>
  <c r="G48" i="41" s="1"/>
  <c r="K74" i="41"/>
  <c r="K88" i="41" s="1"/>
  <c r="K84" i="41"/>
  <c r="D74" i="41"/>
  <c r="I74" i="41"/>
  <c r="I84" i="41"/>
  <c r="M27" i="41"/>
  <c r="V74" i="41"/>
  <c r="V84" i="41" s="1"/>
  <c r="N74" i="41"/>
  <c r="N84" i="41"/>
  <c r="F74" i="41"/>
  <c r="F84" i="41"/>
  <c r="E27" i="41"/>
  <c r="E48" i="41"/>
  <c r="E88" i="41" s="1"/>
  <c r="U74" i="41"/>
  <c r="U84" i="41"/>
  <c r="E74" i="41"/>
  <c r="E84" i="41"/>
  <c r="K61" i="41"/>
  <c r="L61" i="41"/>
  <c r="L121" i="9"/>
  <c r="D88" i="41"/>
  <c r="N27" i="27"/>
  <c r="C43" i="8"/>
  <c r="C25" i="8"/>
  <c r="C35" i="2"/>
  <c r="D18" i="1"/>
  <c r="D113" i="9" s="1"/>
  <c r="E18" i="1"/>
  <c r="E113" i="9" s="1"/>
  <c r="F18" i="1"/>
  <c r="F113" i="9" s="1"/>
  <c r="G18" i="1"/>
  <c r="G113" i="9" s="1"/>
  <c r="H18" i="1"/>
  <c r="H113" i="9" s="1"/>
  <c r="I18" i="1"/>
  <c r="I113" i="9" s="1"/>
  <c r="J18" i="1"/>
  <c r="K18" i="1"/>
  <c r="K113" i="9" s="1"/>
  <c r="L18" i="1"/>
  <c r="L113" i="9" s="1"/>
  <c r="M18" i="1"/>
  <c r="M113" i="9" s="1"/>
  <c r="N18" i="1"/>
  <c r="O18" i="1"/>
  <c r="O113" i="9" s="1"/>
  <c r="P18" i="1"/>
  <c r="P113" i="9" s="1"/>
  <c r="Q18" i="1"/>
  <c r="Q113" i="9" s="1"/>
  <c r="R18" i="1"/>
  <c r="R113" i="9" s="1"/>
  <c r="S18" i="1"/>
  <c r="T18" i="1"/>
  <c r="T113" i="9" s="1"/>
  <c r="C18" i="1"/>
  <c r="C113" i="9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S17" i="1"/>
  <c r="P17" i="1"/>
  <c r="C45" i="8"/>
  <c r="AD45" i="27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B1" i="48"/>
  <c r="G9" i="49"/>
  <c r="I9" i="49" s="1"/>
  <c r="J9" i="49" s="1"/>
  <c r="G8" i="49"/>
  <c r="I8" i="49" s="1"/>
  <c r="G7" i="49"/>
  <c r="I7" i="49" s="1"/>
  <c r="G6" i="49"/>
  <c r="I6" i="49" s="1"/>
  <c r="G5" i="49"/>
  <c r="I5" i="49" s="1"/>
  <c r="J5" i="49" s="1"/>
  <c r="R57" i="10"/>
  <c r="S57" i="10" s="1"/>
  <c r="R35" i="10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R34" i="10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R13" i="10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V60" i="41"/>
  <c r="U60" i="41"/>
  <c r="T60" i="41"/>
  <c r="AD64" i="42"/>
  <c r="P63" i="42"/>
  <c r="L63" i="42"/>
  <c r="L66" i="42" s="1"/>
  <c r="I63" i="42"/>
  <c r="G63" i="42"/>
  <c r="E63" i="42"/>
  <c r="D63" i="42"/>
  <c r="C63" i="42"/>
  <c r="AD62" i="42"/>
  <c r="AD61" i="42"/>
  <c r="Q58" i="42"/>
  <c r="AD58" i="42" s="1"/>
  <c r="AD56" i="42"/>
  <c r="AD55" i="42"/>
  <c r="AD50" i="42"/>
  <c r="AD48" i="42"/>
  <c r="AD47" i="42"/>
  <c r="AD46" i="42"/>
  <c r="P45" i="42"/>
  <c r="P54" i="42" s="1"/>
  <c r="O45" i="42"/>
  <c r="O38" i="1" s="1"/>
  <c r="N45" i="42"/>
  <c r="M45" i="42"/>
  <c r="M71" i="42" s="1"/>
  <c r="L45" i="42"/>
  <c r="L71" i="42" s="1"/>
  <c r="K45" i="42"/>
  <c r="K71" i="42" s="1"/>
  <c r="J45" i="42"/>
  <c r="J71" i="42" s="1"/>
  <c r="I45" i="42"/>
  <c r="H45" i="42"/>
  <c r="H71" i="42" s="1"/>
  <c r="G45" i="42"/>
  <c r="G54" i="42" s="1"/>
  <c r="F45" i="42"/>
  <c r="E45" i="42"/>
  <c r="E38" i="1" s="1"/>
  <c r="D45" i="42"/>
  <c r="D49" i="42" s="1"/>
  <c r="C45" i="42"/>
  <c r="C71" i="42" s="1"/>
  <c r="AD44" i="42"/>
  <c r="AD43" i="42"/>
  <c r="E28" i="42"/>
  <c r="C28" i="42"/>
  <c r="K10" i="42"/>
  <c r="K35" i="1" s="1"/>
  <c r="J10" i="42"/>
  <c r="J35" i="1" s="1"/>
  <c r="I10" i="42"/>
  <c r="I14" i="42" s="1"/>
  <c r="I35" i="1"/>
  <c r="H10" i="42"/>
  <c r="H14" i="42" s="1"/>
  <c r="H35" i="1"/>
  <c r="G10" i="42"/>
  <c r="G35" i="1" s="1"/>
  <c r="F10" i="42"/>
  <c r="F35" i="1" s="1"/>
  <c r="E10" i="42"/>
  <c r="E36" i="42" s="1"/>
  <c r="E35" i="1"/>
  <c r="D10" i="42"/>
  <c r="D35" i="1"/>
  <c r="C10" i="42"/>
  <c r="C36" i="42" s="1"/>
  <c r="H38" i="1"/>
  <c r="P38" i="1"/>
  <c r="O71" i="42"/>
  <c r="I71" i="42"/>
  <c r="I38" i="1"/>
  <c r="L38" i="1"/>
  <c r="G38" i="1"/>
  <c r="K38" i="1"/>
  <c r="H36" i="42"/>
  <c r="J14" i="42"/>
  <c r="J36" i="42"/>
  <c r="D19" i="42"/>
  <c r="D36" i="42"/>
  <c r="F14" i="42"/>
  <c r="F36" i="42"/>
  <c r="K36" i="6"/>
  <c r="K53" i="6" s="1"/>
  <c r="I19" i="42"/>
  <c r="L54" i="42"/>
  <c r="I49" i="42"/>
  <c r="I66" i="42" s="1"/>
  <c r="I54" i="42"/>
  <c r="C14" i="42"/>
  <c r="S64" i="42"/>
  <c r="T64" i="42" s="1"/>
  <c r="U64" i="42" s="1"/>
  <c r="V64" i="42" s="1"/>
  <c r="W64" i="42" s="1"/>
  <c r="X64" i="42" s="1"/>
  <c r="Y64" i="42" s="1"/>
  <c r="Z64" i="42" s="1"/>
  <c r="AD57" i="42"/>
  <c r="Q45" i="42"/>
  <c r="Q38" i="1"/>
  <c r="J49" i="42"/>
  <c r="S58" i="42"/>
  <c r="T58" i="42"/>
  <c r="U58" i="42" s="1"/>
  <c r="V58" i="42" s="1"/>
  <c r="W58" i="42" s="1"/>
  <c r="X58" i="42" s="1"/>
  <c r="Y58" i="42" s="1"/>
  <c r="Z58" i="42" s="1"/>
  <c r="K49" i="42"/>
  <c r="E49" i="42"/>
  <c r="M49" i="42"/>
  <c r="L49" i="42"/>
  <c r="G49" i="42"/>
  <c r="G66" i="42" s="1"/>
  <c r="H49" i="42"/>
  <c r="K14" i="42"/>
  <c r="K31" i="42" s="1"/>
  <c r="F19" i="42"/>
  <c r="D14" i="42"/>
  <c r="S8" i="9"/>
  <c r="S20" i="9"/>
  <c r="T20" i="9" s="1"/>
  <c r="U20" i="9" s="1"/>
  <c r="S15" i="9"/>
  <c r="T15" i="9" s="1"/>
  <c r="U15" i="9" s="1"/>
  <c r="V15" i="9" s="1"/>
  <c r="W15" i="9" s="1"/>
  <c r="X15" i="9" s="1"/>
  <c r="S56" i="9"/>
  <c r="T56" i="9"/>
  <c r="U56" i="9" s="1"/>
  <c r="V56" i="9" s="1"/>
  <c r="W56" i="9" s="1"/>
  <c r="X56" i="9" s="1"/>
  <c r="Y56" i="9" s="1"/>
  <c r="Z56" i="9" s="1"/>
  <c r="AA56" i="9" s="1"/>
  <c r="AB56" i="9" s="1"/>
  <c r="S62" i="9"/>
  <c r="T62" i="9" s="1"/>
  <c r="U62" i="9" s="1"/>
  <c r="S68" i="9"/>
  <c r="T68" i="9" s="1"/>
  <c r="U68" i="9" s="1"/>
  <c r="S105" i="9"/>
  <c r="T105" i="9"/>
  <c r="U105" i="9"/>
  <c r="V105" i="9" s="1"/>
  <c r="W105" i="9"/>
  <c r="X105" i="9" s="1"/>
  <c r="Y105" i="9" s="1"/>
  <c r="Z105" i="9" s="1"/>
  <c r="S104" i="9"/>
  <c r="T104" i="9" s="1"/>
  <c r="U104" i="9" s="1"/>
  <c r="V104" i="9" s="1"/>
  <c r="W104" i="9" s="1"/>
  <c r="X104" i="9" s="1"/>
  <c r="Y104" i="9" s="1"/>
  <c r="S103" i="9"/>
  <c r="T103" i="9" s="1"/>
  <c r="U103" i="9" s="1"/>
  <c r="V103" i="9" s="1"/>
  <c r="W103" i="9" s="1"/>
  <c r="X103" i="9" s="1"/>
  <c r="Y103" i="9" s="1"/>
  <c r="Z103" i="9" s="1"/>
  <c r="S102" i="9"/>
  <c r="T102" i="9" s="1"/>
  <c r="U102" i="9" s="1"/>
  <c r="V102" i="9" s="1"/>
  <c r="W102" i="9" s="1"/>
  <c r="X102" i="9" s="1"/>
  <c r="Y102" i="9" s="1"/>
  <c r="Z102" i="9" s="1"/>
  <c r="S101" i="9"/>
  <c r="T101" i="9"/>
  <c r="U101" i="9" s="1"/>
  <c r="V101" i="9" s="1"/>
  <c r="W101" i="9" s="1"/>
  <c r="X101" i="9" s="1"/>
  <c r="Y101" i="9" s="1"/>
  <c r="Z101" i="9" s="1"/>
  <c r="S100" i="9"/>
  <c r="T100" i="9" s="1"/>
  <c r="U100" i="9" s="1"/>
  <c r="V100" i="9" s="1"/>
  <c r="W100" i="9" s="1"/>
  <c r="AA100" i="9" s="1"/>
  <c r="AB100" i="9" s="1"/>
  <c r="S99" i="9"/>
  <c r="T99" i="9" s="1"/>
  <c r="U99" i="9" s="1"/>
  <c r="V99" i="9" s="1"/>
  <c r="W99" i="9" s="1"/>
  <c r="X99" i="9" s="1"/>
  <c r="Y99" i="9" s="1"/>
  <c r="Z99" i="9" s="1"/>
  <c r="S98" i="9"/>
  <c r="T98" i="9" s="1"/>
  <c r="U98" i="9" s="1"/>
  <c r="S96" i="9"/>
  <c r="T96" i="9"/>
  <c r="U96" i="9"/>
  <c r="S95" i="9"/>
  <c r="S106" i="9" s="1"/>
  <c r="S25" i="6" s="1"/>
  <c r="S31" i="9"/>
  <c r="T31" i="9"/>
  <c r="U31" i="9" s="1"/>
  <c r="V31" i="9" s="1"/>
  <c r="W31" i="9" s="1"/>
  <c r="X31" i="9" s="1"/>
  <c r="Y31" i="9" s="1"/>
  <c r="Z31" i="9" s="1"/>
  <c r="AA31" i="9" s="1"/>
  <c r="AB31" i="9" s="1"/>
  <c r="Q32" i="9"/>
  <c r="P32" i="9"/>
  <c r="C22" i="26"/>
  <c r="D22" i="26"/>
  <c r="E22" i="26"/>
  <c r="E53" i="26" s="1"/>
  <c r="F22" i="26"/>
  <c r="C49" i="26"/>
  <c r="C109" i="9" s="1"/>
  <c r="C26" i="6" s="1"/>
  <c r="D49" i="26"/>
  <c r="D109" i="9" s="1"/>
  <c r="D26" i="6" s="1"/>
  <c r="E49" i="26"/>
  <c r="E109" i="9" s="1"/>
  <c r="E26" i="6" s="1"/>
  <c r="F49" i="26"/>
  <c r="F109" i="9"/>
  <c r="F26" i="6"/>
  <c r="V48" i="26"/>
  <c r="W48" i="26" s="1"/>
  <c r="X48" i="26" s="1"/>
  <c r="Y48" i="26" s="1"/>
  <c r="Z48" i="26" s="1"/>
  <c r="Y47" i="26"/>
  <c r="Z47" i="26" s="1"/>
  <c r="AA47" i="26" s="1"/>
  <c r="AB47" i="26" s="1"/>
  <c r="V46" i="26"/>
  <c r="W46" i="26" s="1"/>
  <c r="X46" i="26" s="1"/>
  <c r="Y46" i="26" s="1"/>
  <c r="Z46" i="26" s="1"/>
  <c r="V45" i="26"/>
  <c r="W45" i="26" s="1"/>
  <c r="X45" i="26" s="1"/>
  <c r="Y45" i="26" s="1"/>
  <c r="Z45" i="26" s="1"/>
  <c r="V44" i="26"/>
  <c r="W44" i="26" s="1"/>
  <c r="X44" i="26" s="1"/>
  <c r="Y44" i="26" s="1"/>
  <c r="Z44" i="26" s="1"/>
  <c r="W43" i="26"/>
  <c r="Y43" i="26" s="1"/>
  <c r="Z43" i="26" s="1"/>
  <c r="AA43" i="26" s="1"/>
  <c r="AB43" i="26" s="1"/>
  <c r="V42" i="26"/>
  <c r="W42" i="26" s="1"/>
  <c r="X42" i="26" s="1"/>
  <c r="Y42" i="26" s="1"/>
  <c r="Z42" i="26" s="1"/>
  <c r="Y41" i="26"/>
  <c r="Z41" i="26" s="1"/>
  <c r="AA41" i="26" s="1"/>
  <c r="AB41" i="26" s="1"/>
  <c r="Y40" i="26"/>
  <c r="Z40" i="26" s="1"/>
  <c r="AA40" i="26" s="1"/>
  <c r="AB40" i="26" s="1"/>
  <c r="V39" i="26"/>
  <c r="W39" i="26" s="1"/>
  <c r="X39" i="26" s="1"/>
  <c r="Y39" i="26" s="1"/>
  <c r="Z39" i="26" s="1"/>
  <c r="V38" i="26"/>
  <c r="W38" i="26" s="1"/>
  <c r="X38" i="26" s="1"/>
  <c r="Y38" i="26" s="1"/>
  <c r="Z38" i="26" s="1"/>
  <c r="Y37" i="26"/>
  <c r="Z37" i="26" s="1"/>
  <c r="AA37" i="26" s="1"/>
  <c r="AB37" i="26" s="1"/>
  <c r="Y36" i="26"/>
  <c r="Z36" i="26" s="1"/>
  <c r="AA36" i="26" s="1"/>
  <c r="AB36" i="26" s="1"/>
  <c r="V35" i="26"/>
  <c r="W35" i="26" s="1"/>
  <c r="X35" i="26" s="1"/>
  <c r="Y35" i="26" s="1"/>
  <c r="Z35" i="26" s="1"/>
  <c r="V34" i="26"/>
  <c r="W34" i="26" s="1"/>
  <c r="X34" i="26" s="1"/>
  <c r="Y34" i="26" s="1"/>
  <c r="Z34" i="26" s="1"/>
  <c r="V33" i="26"/>
  <c r="W33" i="26" s="1"/>
  <c r="X33" i="26" s="1"/>
  <c r="Y33" i="26" s="1"/>
  <c r="Z33" i="26" s="1"/>
  <c r="U46" i="27"/>
  <c r="Q72" i="6"/>
  <c r="Q70" i="6"/>
  <c r="Q69" i="6"/>
  <c r="Q68" i="6"/>
  <c r="Q67" i="6"/>
  <c r="Q66" i="6"/>
  <c r="Q64" i="6"/>
  <c r="P72" i="6"/>
  <c r="P70" i="6"/>
  <c r="P69" i="6"/>
  <c r="P68" i="6"/>
  <c r="P67" i="6"/>
  <c r="P66" i="6"/>
  <c r="P64" i="6"/>
  <c r="O72" i="6"/>
  <c r="O70" i="6"/>
  <c r="O69" i="6"/>
  <c r="O68" i="6"/>
  <c r="O67" i="6"/>
  <c r="O66" i="6"/>
  <c r="O64" i="6"/>
  <c r="M72" i="6"/>
  <c r="M70" i="6"/>
  <c r="M69" i="6"/>
  <c r="M68" i="6"/>
  <c r="M67" i="6"/>
  <c r="M66" i="6"/>
  <c r="M64" i="6"/>
  <c r="L72" i="6"/>
  <c r="L70" i="6"/>
  <c r="L69" i="6"/>
  <c r="L68" i="6"/>
  <c r="L67" i="6"/>
  <c r="L66" i="6"/>
  <c r="L64" i="6"/>
  <c r="K72" i="6"/>
  <c r="K70" i="6"/>
  <c r="K69" i="6"/>
  <c r="K68" i="6"/>
  <c r="K67" i="6"/>
  <c r="K66" i="6"/>
  <c r="K64" i="6"/>
  <c r="J72" i="6"/>
  <c r="J70" i="6"/>
  <c r="J69" i="6"/>
  <c r="J68" i="6"/>
  <c r="J67" i="6"/>
  <c r="J66" i="6"/>
  <c r="J64" i="6"/>
  <c r="I72" i="6"/>
  <c r="I70" i="6"/>
  <c r="I69" i="6"/>
  <c r="I68" i="6"/>
  <c r="I67" i="6"/>
  <c r="I66" i="6"/>
  <c r="I64" i="6"/>
  <c r="H72" i="6"/>
  <c r="H70" i="6"/>
  <c r="H69" i="6"/>
  <c r="H68" i="6"/>
  <c r="H67" i="6"/>
  <c r="H66" i="6"/>
  <c r="H64" i="6"/>
  <c r="G72" i="6"/>
  <c r="G70" i="6"/>
  <c r="G69" i="6"/>
  <c r="G68" i="6"/>
  <c r="G67" i="6"/>
  <c r="G66" i="6"/>
  <c r="G64" i="6"/>
  <c r="F72" i="6"/>
  <c r="F70" i="6"/>
  <c r="F69" i="6"/>
  <c r="F68" i="6"/>
  <c r="F67" i="6"/>
  <c r="F66" i="6"/>
  <c r="F64" i="6"/>
  <c r="E72" i="6"/>
  <c r="E70" i="6"/>
  <c r="E69" i="6"/>
  <c r="E68" i="6"/>
  <c r="E67" i="6"/>
  <c r="E66" i="6"/>
  <c r="E64" i="6"/>
  <c r="D72" i="6"/>
  <c r="D70" i="6"/>
  <c r="D69" i="6"/>
  <c r="D68" i="6"/>
  <c r="D67" i="6"/>
  <c r="D66" i="6"/>
  <c r="D64" i="6"/>
  <c r="C72" i="6"/>
  <c r="C70" i="6"/>
  <c r="C69" i="6"/>
  <c r="C68" i="6"/>
  <c r="C67" i="6"/>
  <c r="C66" i="6"/>
  <c r="C64" i="6"/>
  <c r="K24" i="6"/>
  <c r="K23" i="6"/>
  <c r="K20" i="6"/>
  <c r="K19" i="6"/>
  <c r="K17" i="6"/>
  <c r="K16" i="6"/>
  <c r="J29" i="6"/>
  <c r="J24" i="6"/>
  <c r="J23" i="6"/>
  <c r="J21" i="6"/>
  <c r="J20" i="6"/>
  <c r="J19" i="6"/>
  <c r="I29" i="6"/>
  <c r="I24" i="6"/>
  <c r="I23" i="6"/>
  <c r="I21" i="6"/>
  <c r="I20" i="6"/>
  <c r="I19" i="6"/>
  <c r="H24" i="6"/>
  <c r="H23" i="6"/>
  <c r="H21" i="6"/>
  <c r="H20" i="6"/>
  <c r="H16" i="6"/>
  <c r="G29" i="6"/>
  <c r="G24" i="6"/>
  <c r="G23" i="6"/>
  <c r="G21" i="6"/>
  <c r="G19" i="6"/>
  <c r="G17" i="6"/>
  <c r="G16" i="6"/>
  <c r="F24" i="6"/>
  <c r="F21" i="6"/>
  <c r="F20" i="6"/>
  <c r="F17" i="6"/>
  <c r="F16" i="6"/>
  <c r="E23" i="6"/>
  <c r="E21" i="6"/>
  <c r="E19" i="6"/>
  <c r="E16" i="6"/>
  <c r="D24" i="6"/>
  <c r="D21" i="6"/>
  <c r="D20" i="6"/>
  <c r="D19" i="6"/>
  <c r="C24" i="6"/>
  <c r="C23" i="6"/>
  <c r="C20" i="6"/>
  <c r="C19" i="6"/>
  <c r="C16" i="6"/>
  <c r="W45" i="42"/>
  <c r="W71" i="42" s="1"/>
  <c r="W38" i="1"/>
  <c r="Q71" i="42"/>
  <c r="W49" i="42"/>
  <c r="Q49" i="42"/>
  <c r="Q54" i="42"/>
  <c r="R45" i="42"/>
  <c r="R38" i="1" s="1"/>
  <c r="U95" i="9"/>
  <c r="V95" i="9" s="1"/>
  <c r="W95" i="9" s="1"/>
  <c r="X95" i="9" s="1"/>
  <c r="Y95" i="9" s="1"/>
  <c r="Z95" i="9" s="1"/>
  <c r="AA95" i="9" s="1"/>
  <c r="R123" i="9"/>
  <c r="S123" i="9"/>
  <c r="R125" i="9"/>
  <c r="S125" i="9"/>
  <c r="D32" i="53"/>
  <c r="S90" i="9"/>
  <c r="Y90" i="9" s="1"/>
  <c r="Z90" i="9" s="1"/>
  <c r="AA90" i="9" s="1"/>
  <c r="AB90" i="9" s="1"/>
  <c r="AC90" i="9" s="1"/>
  <c r="S91" i="9"/>
  <c r="X91" i="9" s="1"/>
  <c r="Y91" i="9" s="1"/>
  <c r="Z91" i="9" s="1"/>
  <c r="AA91" i="9" s="1"/>
  <c r="AB91" i="9" s="1"/>
  <c r="S84" i="9"/>
  <c r="S89" i="9"/>
  <c r="S49" i="9"/>
  <c r="T49" i="9" s="1"/>
  <c r="U49" i="9" s="1"/>
  <c r="V49" i="9" s="1"/>
  <c r="W49" i="9" s="1"/>
  <c r="Y49" i="9" s="1"/>
  <c r="Z49" i="9" s="1"/>
  <c r="AA49" i="9" s="1"/>
  <c r="AB49" i="9" s="1"/>
  <c r="M47" i="9"/>
  <c r="N47" i="9"/>
  <c r="O47" i="9"/>
  <c r="S45" i="9"/>
  <c r="T45" i="9" s="1"/>
  <c r="U45" i="9" s="1"/>
  <c r="V45" i="9" s="1"/>
  <c r="W45" i="9" s="1"/>
  <c r="X45" i="9" s="1"/>
  <c r="Y45" i="9" s="1"/>
  <c r="Z45" i="9" s="1"/>
  <c r="AA45" i="9" s="1"/>
  <c r="AB45" i="9" s="1"/>
  <c r="S39" i="9"/>
  <c r="S44" i="9"/>
  <c r="Q41" i="9"/>
  <c r="Q42" i="9" s="1"/>
  <c r="R41" i="9"/>
  <c r="S29" i="9"/>
  <c r="S30" i="9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J56" i="1" s="1"/>
  <c r="J41" i="6" s="1"/>
  <c r="I53" i="1"/>
  <c r="H53" i="1"/>
  <c r="G53" i="1"/>
  <c r="F53" i="1"/>
  <c r="E53" i="1"/>
  <c r="E56" i="1" s="1"/>
  <c r="E41" i="6" s="1"/>
  <c r="D53" i="1"/>
  <c r="C55" i="1"/>
  <c r="D14" i="17"/>
  <c r="B98" i="17"/>
  <c r="B97" i="17"/>
  <c r="B96" i="17"/>
  <c r="B95" i="17"/>
  <c r="B94" i="17"/>
  <c r="V99" i="17"/>
  <c r="V9" i="17" s="1"/>
  <c r="U99" i="17"/>
  <c r="U9" i="17" s="1"/>
  <c r="T99" i="17"/>
  <c r="T9" i="17" s="1"/>
  <c r="S99" i="17"/>
  <c r="S9" i="17" s="1"/>
  <c r="R99" i="17"/>
  <c r="R9" i="17" s="1"/>
  <c r="Q99" i="17"/>
  <c r="Q9" i="17" s="1"/>
  <c r="P99" i="17"/>
  <c r="P9" i="17" s="1"/>
  <c r="O99" i="17"/>
  <c r="N99" i="17"/>
  <c r="N9" i="17" s="1"/>
  <c r="M99" i="17"/>
  <c r="M9" i="17" s="1"/>
  <c r="L99" i="17"/>
  <c r="L9" i="17" s="1"/>
  <c r="V92" i="17"/>
  <c r="U92" i="17"/>
  <c r="U100" i="17" s="1"/>
  <c r="T92" i="17"/>
  <c r="S92" i="17"/>
  <c r="R92" i="17"/>
  <c r="Q92" i="17"/>
  <c r="P92" i="17"/>
  <c r="O92" i="17"/>
  <c r="N92" i="17"/>
  <c r="N100" i="17" s="1"/>
  <c r="M92" i="17"/>
  <c r="L92" i="17"/>
  <c r="L100" i="17" s="1"/>
  <c r="R100" i="17"/>
  <c r="S82" i="9"/>
  <c r="U84" i="9" s="1"/>
  <c r="S83" i="9"/>
  <c r="S85" i="9"/>
  <c r="S67" i="9"/>
  <c r="S61" i="9"/>
  <c r="R47" i="9"/>
  <c r="S34" i="9"/>
  <c r="S14" i="9"/>
  <c r="Q16" i="9"/>
  <c r="S9" i="9"/>
  <c r="T9" i="9" s="1"/>
  <c r="U9" i="9" s="1"/>
  <c r="R16" i="9"/>
  <c r="P10" i="43"/>
  <c r="P13" i="43" s="1"/>
  <c r="O10" i="43"/>
  <c r="O13" i="43" s="1"/>
  <c r="N10" i="43"/>
  <c r="N32" i="43" s="1"/>
  <c r="N13" i="43"/>
  <c r="M10" i="43"/>
  <c r="M13" i="43" s="1"/>
  <c r="L10" i="43"/>
  <c r="L13" i="43" s="1"/>
  <c r="K10" i="43"/>
  <c r="K32" i="43" s="1"/>
  <c r="K35" i="43" s="1"/>
  <c r="K42" i="6" s="1"/>
  <c r="K54" i="6" s="1"/>
  <c r="J10" i="43"/>
  <c r="J13" i="43" s="1"/>
  <c r="J32" i="43"/>
  <c r="I10" i="43"/>
  <c r="I33" i="43" s="1"/>
  <c r="H10" i="43"/>
  <c r="H33" i="43" s="1"/>
  <c r="G10" i="43"/>
  <c r="G13" i="43" s="1"/>
  <c r="F10" i="43"/>
  <c r="F13" i="43"/>
  <c r="E10" i="43"/>
  <c r="E32" i="43" s="1"/>
  <c r="D10" i="43"/>
  <c r="D13" i="43" s="1"/>
  <c r="K33" i="43"/>
  <c r="F33" i="43"/>
  <c r="F32" i="43"/>
  <c r="F35" i="43" s="1"/>
  <c r="C10" i="43"/>
  <c r="C19" i="43"/>
  <c r="C20" i="43" s="1"/>
  <c r="C21" i="43" s="1"/>
  <c r="D19" i="43"/>
  <c r="D20" i="43" s="1"/>
  <c r="E19" i="43"/>
  <c r="E20" i="43" s="1"/>
  <c r="E21" i="43" s="1"/>
  <c r="F19" i="43"/>
  <c r="F20" i="43" s="1"/>
  <c r="F21" i="43" s="1"/>
  <c r="G19" i="43"/>
  <c r="G20" i="43" s="1"/>
  <c r="G21" i="43" s="1"/>
  <c r="H19" i="43"/>
  <c r="I19" i="43"/>
  <c r="I20" i="43" s="1"/>
  <c r="J19" i="43"/>
  <c r="K19" i="43"/>
  <c r="K20" i="43" s="1"/>
  <c r="C29" i="43"/>
  <c r="D29" i="43"/>
  <c r="E29" i="43"/>
  <c r="F29" i="43"/>
  <c r="G29" i="43"/>
  <c r="H29" i="43"/>
  <c r="I29" i="43"/>
  <c r="J29" i="43"/>
  <c r="K29" i="43"/>
  <c r="J20" i="43"/>
  <c r="C32" i="43"/>
  <c r="C13" i="43"/>
  <c r="C33" i="43"/>
  <c r="M16" i="1"/>
  <c r="L16" i="1"/>
  <c r="N16" i="1"/>
  <c r="O16" i="1"/>
  <c r="P16" i="1"/>
  <c r="S67" i="8"/>
  <c r="S66" i="6" s="1"/>
  <c r="U67" i="8"/>
  <c r="S68" i="8"/>
  <c r="T68" i="8" s="1"/>
  <c r="S69" i="8"/>
  <c r="T69" i="8" s="1"/>
  <c r="S70" i="8"/>
  <c r="T70" i="8" s="1"/>
  <c r="S71" i="8"/>
  <c r="T71" i="8" s="1"/>
  <c r="S66" i="8"/>
  <c r="T66" i="8" s="1"/>
  <c r="P32" i="53"/>
  <c r="P34" i="53"/>
  <c r="P35" i="53" s="1"/>
  <c r="O32" i="53"/>
  <c r="O34" i="53" s="1"/>
  <c r="O35" i="53" s="1"/>
  <c r="N32" i="53"/>
  <c r="O18" i="53" s="1"/>
  <c r="M32" i="53"/>
  <c r="M34" i="53"/>
  <c r="M35" i="53" s="1"/>
  <c r="L32" i="53"/>
  <c r="M18" i="53" s="1"/>
  <c r="K32" i="53"/>
  <c r="K34" i="53" s="1"/>
  <c r="K35" i="53" s="1"/>
  <c r="J32" i="53"/>
  <c r="J34" i="53"/>
  <c r="J35" i="53" s="1"/>
  <c r="I32" i="53"/>
  <c r="I34" i="53" s="1"/>
  <c r="I35" i="53" s="1"/>
  <c r="H32" i="53"/>
  <c r="H34" i="53" s="1"/>
  <c r="H35" i="53" s="1"/>
  <c r="G32" i="53"/>
  <c r="G34" i="53" s="1"/>
  <c r="G35" i="53" s="1"/>
  <c r="F32" i="53"/>
  <c r="F34" i="53"/>
  <c r="E32" i="53"/>
  <c r="E34" i="53" s="1"/>
  <c r="E35" i="53" s="1"/>
  <c r="D34" i="53"/>
  <c r="D35" i="53" s="1"/>
  <c r="C32" i="53"/>
  <c r="D18" i="53" s="1"/>
  <c r="C34" i="53"/>
  <c r="P17" i="53"/>
  <c r="O17" i="53"/>
  <c r="N17" i="53"/>
  <c r="AB17" i="53" s="1"/>
  <c r="M17" i="53"/>
  <c r="L17" i="53"/>
  <c r="K17" i="53"/>
  <c r="K25" i="1" s="1"/>
  <c r="J17" i="53"/>
  <c r="J25" i="1" s="1"/>
  <c r="I17" i="53"/>
  <c r="I18" i="53" s="1"/>
  <c r="H17" i="53"/>
  <c r="G17" i="53"/>
  <c r="F17" i="53"/>
  <c r="F18" i="53" s="1"/>
  <c r="E17" i="53"/>
  <c r="E25" i="1" s="1"/>
  <c r="D17" i="53"/>
  <c r="C17" i="53"/>
  <c r="C25" i="1" s="1"/>
  <c r="B1" i="53"/>
  <c r="L34" i="53"/>
  <c r="L35" i="53" s="1"/>
  <c r="D25" i="1"/>
  <c r="M25" i="1"/>
  <c r="G25" i="1"/>
  <c r="O25" i="1"/>
  <c r="L25" i="1"/>
  <c r="H25" i="1"/>
  <c r="P25" i="1"/>
  <c r="I25" i="1"/>
  <c r="Q32" i="53"/>
  <c r="Q34" i="53" s="1"/>
  <c r="Q35" i="53" s="1"/>
  <c r="G18" i="53"/>
  <c r="P18" i="53"/>
  <c r="F35" i="53"/>
  <c r="N18" i="53"/>
  <c r="Q17" i="53"/>
  <c r="Q18" i="53" s="1"/>
  <c r="E18" i="53"/>
  <c r="J18" i="53"/>
  <c r="AB32" i="53"/>
  <c r="Q25" i="1"/>
  <c r="S32" i="53"/>
  <c r="S34" i="53" s="1"/>
  <c r="R32" i="53"/>
  <c r="R34" i="53" s="1"/>
  <c r="R35" i="53" s="1"/>
  <c r="R17" i="53"/>
  <c r="R18" i="53" s="1"/>
  <c r="T32" i="53"/>
  <c r="T34" i="53" s="1"/>
  <c r="U32" i="53"/>
  <c r="U34" i="53" s="1"/>
  <c r="V32" i="53"/>
  <c r="V34" i="53"/>
  <c r="N72" i="6"/>
  <c r="N67" i="6"/>
  <c r="N68" i="6"/>
  <c r="N69" i="6"/>
  <c r="N70" i="6"/>
  <c r="B55" i="8"/>
  <c r="B67" i="8" s="1"/>
  <c r="B66" i="6" s="1"/>
  <c r="B31" i="8"/>
  <c r="B56" i="8" s="1"/>
  <c r="B68" i="8" s="1"/>
  <c r="B67" i="6" s="1"/>
  <c r="B32" i="8"/>
  <c r="B57" i="8"/>
  <c r="B69" i="8" s="1"/>
  <c r="B68" i="6" s="1"/>
  <c r="B33" i="8"/>
  <c r="B58" i="8" s="1"/>
  <c r="B70" i="8" s="1"/>
  <c r="B69" i="6" s="1"/>
  <c r="B34" i="8"/>
  <c r="B59" i="8"/>
  <c r="B71" i="8" s="1"/>
  <c r="B70" i="6" s="1"/>
  <c r="B29" i="8"/>
  <c r="B54" i="8" s="1"/>
  <c r="B66" i="8" s="1"/>
  <c r="S70" i="6"/>
  <c r="R70" i="6"/>
  <c r="R64" i="6"/>
  <c r="R66" i="6"/>
  <c r="S68" i="6"/>
  <c r="R68" i="6"/>
  <c r="S69" i="6"/>
  <c r="R69" i="6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S73" i="8"/>
  <c r="T73" i="8" s="1"/>
  <c r="R72" i="6"/>
  <c r="R67" i="6"/>
  <c r="S67" i="6"/>
  <c r="S72" i="6"/>
  <c r="B79" i="17"/>
  <c r="B80" i="17"/>
  <c r="B81" i="17"/>
  <c r="B82" i="17"/>
  <c r="B29" i="17"/>
  <c r="B28" i="17"/>
  <c r="B27" i="17"/>
  <c r="B26" i="17"/>
  <c r="B25" i="17"/>
  <c r="V106" i="17"/>
  <c r="V12" i="17" s="1"/>
  <c r="U106" i="17"/>
  <c r="U12" i="17" s="1"/>
  <c r="T106" i="17"/>
  <c r="T12" i="17" s="1"/>
  <c r="S106" i="17"/>
  <c r="S12" i="17" s="1"/>
  <c r="R106" i="17"/>
  <c r="R12" i="17" s="1"/>
  <c r="Q106" i="17"/>
  <c r="Q12" i="17" s="1"/>
  <c r="P106" i="17"/>
  <c r="P12" i="17" s="1"/>
  <c r="O106" i="17"/>
  <c r="O12" i="17" s="1"/>
  <c r="N106" i="17"/>
  <c r="N12" i="17" s="1"/>
  <c r="M106" i="17"/>
  <c r="M12" i="17" s="1"/>
  <c r="L106" i="17"/>
  <c r="L12" i="17" s="1"/>
  <c r="K106" i="17"/>
  <c r="K12" i="17" s="1"/>
  <c r="J106" i="17"/>
  <c r="J12" i="17" s="1"/>
  <c r="I106" i="17"/>
  <c r="I12" i="17" s="1"/>
  <c r="H106" i="17"/>
  <c r="H12" i="17" s="1"/>
  <c r="G106" i="17"/>
  <c r="G12" i="17" s="1"/>
  <c r="F106" i="17"/>
  <c r="F12" i="17" s="1"/>
  <c r="E106" i="17"/>
  <c r="E12" i="17" s="1"/>
  <c r="D106" i="17"/>
  <c r="D12" i="17" s="1"/>
  <c r="C106" i="17"/>
  <c r="C12" i="17" s="1"/>
  <c r="P106" i="9"/>
  <c r="P25" i="6" s="1"/>
  <c r="C106" i="9"/>
  <c r="C25" i="6" s="1"/>
  <c r="D106" i="9"/>
  <c r="D25" i="6" s="1"/>
  <c r="E106" i="9"/>
  <c r="E25" i="6"/>
  <c r="F106" i="9"/>
  <c r="F25" i="6"/>
  <c r="G106" i="9"/>
  <c r="G25" i="6" s="1"/>
  <c r="H106" i="9"/>
  <c r="H25" i="6" s="1"/>
  <c r="I106" i="9"/>
  <c r="I25" i="6"/>
  <c r="J106" i="9"/>
  <c r="J25" i="6"/>
  <c r="K106" i="9"/>
  <c r="K25" i="6" s="1"/>
  <c r="L106" i="9"/>
  <c r="M106" i="9"/>
  <c r="N106" i="9"/>
  <c r="O106" i="9"/>
  <c r="AD105" i="9" s="1"/>
  <c r="G49" i="26"/>
  <c r="G109" i="9" s="1"/>
  <c r="G26" i="6" s="1"/>
  <c r="H49" i="26"/>
  <c r="H109" i="9" s="1"/>
  <c r="H26" i="6" s="1"/>
  <c r="I49" i="26"/>
  <c r="I109" i="9" s="1"/>
  <c r="I26" i="6" s="1"/>
  <c r="J49" i="26"/>
  <c r="J109" i="9" s="1"/>
  <c r="J26" i="6" s="1"/>
  <c r="K49" i="26"/>
  <c r="K109" i="9" s="1"/>
  <c r="K26" i="6" s="1"/>
  <c r="L49" i="26"/>
  <c r="L109" i="9" s="1"/>
  <c r="M49" i="26"/>
  <c r="N49" i="26"/>
  <c r="N50" i="26" s="1"/>
  <c r="V9" i="6"/>
  <c r="D21" i="1"/>
  <c r="D9" i="6" s="1"/>
  <c r="E21" i="1"/>
  <c r="E9" i="6" s="1"/>
  <c r="F21" i="1"/>
  <c r="F9" i="6" s="1"/>
  <c r="G21" i="1"/>
  <c r="G9" i="6" s="1"/>
  <c r="H21" i="1"/>
  <c r="H9" i="6" s="1"/>
  <c r="I21" i="1"/>
  <c r="I9" i="6" s="1"/>
  <c r="J21" i="1"/>
  <c r="J9" i="6" s="1"/>
  <c r="K21" i="1"/>
  <c r="K9" i="6" s="1"/>
  <c r="L21" i="1"/>
  <c r="L9" i="6" s="1"/>
  <c r="M21" i="1"/>
  <c r="M9" i="6" s="1"/>
  <c r="N21" i="1"/>
  <c r="N9" i="6" s="1"/>
  <c r="O21" i="1"/>
  <c r="O9" i="6" s="1"/>
  <c r="P21" i="1"/>
  <c r="P9" i="6" s="1"/>
  <c r="Q21" i="1"/>
  <c r="Q9" i="6" s="1"/>
  <c r="R21" i="1"/>
  <c r="R9" i="6" s="1"/>
  <c r="S21" i="1"/>
  <c r="S9" i="6" s="1"/>
  <c r="T21" i="1"/>
  <c r="T9" i="6" s="1"/>
  <c r="U21" i="1"/>
  <c r="U9" i="6" s="1"/>
  <c r="C21" i="1"/>
  <c r="C9" i="6" s="1"/>
  <c r="C53" i="1"/>
  <c r="C54" i="1"/>
  <c r="C36" i="1"/>
  <c r="C16" i="1"/>
  <c r="D16" i="1"/>
  <c r="E16" i="1"/>
  <c r="F16" i="1"/>
  <c r="V9" i="1"/>
  <c r="V10" i="1"/>
  <c r="V69" i="27"/>
  <c r="V28" i="26"/>
  <c r="V68" i="2"/>
  <c r="V70" i="2" s="1"/>
  <c r="V25" i="8"/>
  <c r="V29" i="1" s="1"/>
  <c r="V43" i="8"/>
  <c r="V30" i="1" s="1"/>
  <c r="AD26" i="42"/>
  <c r="AD27" i="42"/>
  <c r="AD17" i="42"/>
  <c r="AD16" i="42"/>
  <c r="AD15" i="42"/>
  <c r="AD13" i="42"/>
  <c r="AD12" i="42"/>
  <c r="AD11" i="42"/>
  <c r="AD8" i="42"/>
  <c r="AD34" i="43"/>
  <c r="AD28" i="43"/>
  <c r="AD27" i="43"/>
  <c r="AD26" i="43"/>
  <c r="AD25" i="43"/>
  <c r="AD18" i="43"/>
  <c r="AD17" i="43"/>
  <c r="AD16" i="43"/>
  <c r="AD12" i="43"/>
  <c r="AD11" i="43"/>
  <c r="V19" i="43"/>
  <c r="AC27" i="48"/>
  <c r="AC24" i="48"/>
  <c r="AC23" i="48"/>
  <c r="AC21" i="48"/>
  <c r="AC20" i="48"/>
  <c r="V23" i="17"/>
  <c r="V74" i="9" s="1"/>
  <c r="V30" i="17"/>
  <c r="V31" i="17" s="1"/>
  <c r="V6" i="17" s="1"/>
  <c r="V75" i="9"/>
  <c r="V52" i="17"/>
  <c r="V72" i="9" s="1"/>
  <c r="V67" i="17"/>
  <c r="V73" i="9" s="1"/>
  <c r="V76" i="17"/>
  <c r="V83" i="17"/>
  <c r="V112" i="17"/>
  <c r="V13" i="17" s="1"/>
  <c r="V40" i="27" s="1"/>
  <c r="V119" i="17"/>
  <c r="V76" i="9" s="1"/>
  <c r="V125" i="17"/>
  <c r="V77" i="9" s="1"/>
  <c r="V12" i="41"/>
  <c r="V17" i="41"/>
  <c r="V23" i="41"/>
  <c r="V38" i="41"/>
  <c r="V46" i="41"/>
  <c r="Q14" i="50"/>
  <c r="Q15" i="50"/>
  <c r="Q6" i="50"/>
  <c r="Q12" i="50"/>
  <c r="K50" i="26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R32" i="9"/>
  <c r="L37" i="9"/>
  <c r="O37" i="9"/>
  <c r="N37" i="9"/>
  <c r="M37" i="9"/>
  <c r="D43" i="8"/>
  <c r="D30" i="1" s="1"/>
  <c r="E43" i="8"/>
  <c r="E30" i="1" s="1"/>
  <c r="F43" i="8"/>
  <c r="F30" i="1"/>
  <c r="G43" i="8"/>
  <c r="G30" i="1"/>
  <c r="H43" i="8"/>
  <c r="I43" i="8"/>
  <c r="J43" i="8"/>
  <c r="K43" i="8"/>
  <c r="L43" i="8"/>
  <c r="M43" i="8"/>
  <c r="N43" i="8"/>
  <c r="O43" i="8"/>
  <c r="O30" i="1" s="1"/>
  <c r="P43" i="8"/>
  <c r="Q43" i="8"/>
  <c r="R43" i="8"/>
  <c r="R30" i="1" s="1"/>
  <c r="S43" i="8"/>
  <c r="T43" i="8"/>
  <c r="T30" i="1" s="1"/>
  <c r="U43" i="8"/>
  <c r="U30" i="1" s="1"/>
  <c r="C30" i="1"/>
  <c r="C29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R29" i="26"/>
  <c r="S29" i="26"/>
  <c r="T29" i="26"/>
  <c r="U29" i="26"/>
  <c r="Q29" i="26"/>
  <c r="C27" i="27"/>
  <c r="Q9" i="1"/>
  <c r="R9" i="1"/>
  <c r="S9" i="1"/>
  <c r="T9" i="1"/>
  <c r="U9" i="1"/>
  <c r="Q10" i="1"/>
  <c r="R10" i="1"/>
  <c r="S10" i="1"/>
  <c r="T10" i="1"/>
  <c r="U10" i="1"/>
  <c r="AD31" i="9"/>
  <c r="V83" i="27"/>
  <c r="V70" i="27"/>
  <c r="V78" i="27"/>
  <c r="V82" i="27"/>
  <c r="V71" i="27"/>
  <c r="V76" i="27"/>
  <c r="V77" i="27"/>
  <c r="V72" i="27"/>
  <c r="V84" i="27"/>
  <c r="V20" i="43"/>
  <c r="W36" i="27"/>
  <c r="V27" i="41"/>
  <c r="V48" i="41"/>
  <c r="V61" i="41" s="1"/>
  <c r="V84" i="17"/>
  <c r="V8" i="17" s="1"/>
  <c r="H50" i="9"/>
  <c r="H18" i="6" s="1"/>
  <c r="V52" i="26"/>
  <c r="Q37" i="9"/>
  <c r="R37" i="9"/>
  <c r="R46" i="10"/>
  <c r="S46" i="10" s="1"/>
  <c r="R45" i="10"/>
  <c r="S45" i="10"/>
  <c r="T45" i="10" s="1"/>
  <c r="R44" i="10"/>
  <c r="S44" i="10" s="1"/>
  <c r="T44" i="10" s="1"/>
  <c r="U44" i="10" s="1"/>
  <c r="R43" i="10"/>
  <c r="S43" i="10" s="1"/>
  <c r="T43" i="10" s="1"/>
  <c r="U43" i="10" s="1"/>
  <c r="V43" i="10" s="1"/>
  <c r="S55" i="9"/>
  <c r="T55" i="9" s="1"/>
  <c r="U55" i="9" s="1"/>
  <c r="V55" i="9" s="1"/>
  <c r="W55" i="9" s="1"/>
  <c r="X55" i="9" s="1"/>
  <c r="Y55" i="9" s="1"/>
  <c r="Z55" i="9" s="1"/>
  <c r="AA55" i="9" s="1"/>
  <c r="AB55" i="9" s="1"/>
  <c r="P10" i="42"/>
  <c r="P36" i="42" s="1"/>
  <c r="O10" i="42"/>
  <c r="O35" i="1" s="1"/>
  <c r="N10" i="42"/>
  <c r="N35" i="1" s="1"/>
  <c r="M10" i="42"/>
  <c r="M35" i="1" s="1"/>
  <c r="T46" i="27"/>
  <c r="T114" i="9" s="1"/>
  <c r="S46" i="27"/>
  <c r="R46" i="27"/>
  <c r="R114" i="9" s="1"/>
  <c r="Q46" i="27"/>
  <c r="Q114" i="9" s="1"/>
  <c r="P46" i="27"/>
  <c r="P114" i="9" s="1"/>
  <c r="O46" i="27"/>
  <c r="O114" i="9" s="1"/>
  <c r="N46" i="27"/>
  <c r="N114" i="9" s="1"/>
  <c r="M46" i="27"/>
  <c r="M114" i="9" s="1"/>
  <c r="L46" i="27"/>
  <c r="L114" i="9" s="1"/>
  <c r="K46" i="27"/>
  <c r="K114" i="9" s="1"/>
  <c r="J46" i="27"/>
  <c r="J114" i="9" s="1"/>
  <c r="I46" i="27"/>
  <c r="I114" i="9" s="1"/>
  <c r="H46" i="27"/>
  <c r="H114" i="9" s="1"/>
  <c r="G46" i="27"/>
  <c r="G114" i="9" s="1"/>
  <c r="F46" i="27"/>
  <c r="E46" i="27"/>
  <c r="E114" i="9" s="1"/>
  <c r="D46" i="27"/>
  <c r="D114" i="9" s="1"/>
  <c r="C46" i="27"/>
  <c r="O36" i="42"/>
  <c r="P35" i="1"/>
  <c r="S20" i="2"/>
  <c r="T20" i="2" s="1"/>
  <c r="U20" i="2" s="1"/>
  <c r="V20" i="2" s="1"/>
  <c r="W20" i="2" s="1"/>
  <c r="Y20" i="2" s="1"/>
  <c r="Z20" i="2" s="1"/>
  <c r="AA20" i="2" s="1"/>
  <c r="AB20" i="2" s="1"/>
  <c r="V19" i="2"/>
  <c r="Y19" i="2" s="1"/>
  <c r="Z19" i="2" s="1"/>
  <c r="AA19" i="2" s="1"/>
  <c r="AB19" i="2" s="1"/>
  <c r="S27" i="2"/>
  <c r="T27" i="2" s="1"/>
  <c r="U27" i="2" s="1"/>
  <c r="V27" i="2" s="1"/>
  <c r="W27" i="2" s="1"/>
  <c r="Y27" i="2" s="1"/>
  <c r="Z27" i="2" s="1"/>
  <c r="AA27" i="2" s="1"/>
  <c r="AB27" i="2" s="1"/>
  <c r="P19" i="42"/>
  <c r="U22" i="2"/>
  <c r="V22" i="2" s="1"/>
  <c r="U30" i="2"/>
  <c r="V30" i="2" s="1"/>
  <c r="V28" i="2"/>
  <c r="S23" i="2"/>
  <c r="T23" i="2" s="1"/>
  <c r="U23" i="2" s="1"/>
  <c r="V23" i="2" s="1"/>
  <c r="W23" i="2" s="1"/>
  <c r="Y23" i="2" s="1"/>
  <c r="Z23" i="2" s="1"/>
  <c r="AA23" i="2" s="1"/>
  <c r="AB23" i="2" s="1"/>
  <c r="V31" i="2"/>
  <c r="Y31" i="2" s="1"/>
  <c r="Z31" i="2" s="1"/>
  <c r="AA31" i="2" s="1"/>
  <c r="AB31" i="2" s="1"/>
  <c r="S29" i="2"/>
  <c r="T29" i="2" s="1"/>
  <c r="U29" i="2" s="1"/>
  <c r="V29" i="2" s="1"/>
  <c r="W29" i="2" s="1"/>
  <c r="Y29" i="2" s="1"/>
  <c r="Z29" i="2" s="1"/>
  <c r="AA29" i="2" s="1"/>
  <c r="AB29" i="2" s="1"/>
  <c r="S24" i="2"/>
  <c r="T24" i="2" s="1"/>
  <c r="U24" i="2" s="1"/>
  <c r="V24" i="2" s="1"/>
  <c r="W24" i="2" s="1"/>
  <c r="Y24" i="2" s="1"/>
  <c r="Z24" i="2" s="1"/>
  <c r="AA24" i="2" s="1"/>
  <c r="AB24" i="2" s="1"/>
  <c r="S32" i="2"/>
  <c r="T32" i="2" s="1"/>
  <c r="U32" i="2" s="1"/>
  <c r="V32" i="2" s="1"/>
  <c r="W32" i="2" s="1"/>
  <c r="X32" i="2" s="1"/>
  <c r="Y32" i="2" s="1"/>
  <c r="Z32" i="2" s="1"/>
  <c r="S25" i="2"/>
  <c r="T25" i="2" s="1"/>
  <c r="U25" i="2" s="1"/>
  <c r="V25" i="2" s="1"/>
  <c r="W25" i="2" s="1"/>
  <c r="Y25" i="2" s="1"/>
  <c r="Z25" i="2" s="1"/>
  <c r="AA25" i="2" s="1"/>
  <c r="AB25" i="2" s="1"/>
  <c r="S33" i="2"/>
  <c r="T33" i="2" s="1"/>
  <c r="U33" i="2" s="1"/>
  <c r="V33" i="2" s="1"/>
  <c r="W33" i="2" s="1"/>
  <c r="X33" i="2" s="1"/>
  <c r="Y33" i="2" s="1"/>
  <c r="Z33" i="2" s="1"/>
  <c r="S26" i="2"/>
  <c r="T26" i="2" s="1"/>
  <c r="U26" i="2" s="1"/>
  <c r="V26" i="2" s="1"/>
  <c r="W26" i="2" s="1"/>
  <c r="Y26" i="2" s="1"/>
  <c r="Z26" i="2" s="1"/>
  <c r="AA26" i="2" s="1"/>
  <c r="AB26" i="2" s="1"/>
  <c r="S34" i="2"/>
  <c r="T34" i="2"/>
  <c r="U34" i="2" s="1"/>
  <c r="V34" i="2" s="1"/>
  <c r="W34" i="2" s="1"/>
  <c r="X34" i="2" s="1"/>
  <c r="Y34" i="2" s="1"/>
  <c r="Z34" i="2" s="1"/>
  <c r="C6" i="50"/>
  <c r="C12" i="50"/>
  <c r="D6" i="50"/>
  <c r="D12" i="50"/>
  <c r="E6" i="50"/>
  <c r="E12" i="50"/>
  <c r="F6" i="50"/>
  <c r="F12" i="50"/>
  <c r="G6" i="50"/>
  <c r="G12" i="50"/>
  <c r="H6" i="50"/>
  <c r="H12" i="50"/>
  <c r="I6" i="50"/>
  <c r="I12" i="50"/>
  <c r="J6" i="50"/>
  <c r="J12" i="50"/>
  <c r="K6" i="50"/>
  <c r="K12" i="50"/>
  <c r="L6" i="50"/>
  <c r="L12" i="50"/>
  <c r="M6" i="50"/>
  <c r="M12" i="50"/>
  <c r="N6" i="50"/>
  <c r="N12" i="50"/>
  <c r="O6" i="50"/>
  <c r="O12" i="50"/>
  <c r="P6" i="50"/>
  <c r="P12" i="50"/>
  <c r="B6" i="50"/>
  <c r="B12" i="50"/>
  <c r="F14" i="50"/>
  <c r="K15" i="50"/>
  <c r="G14" i="50"/>
  <c r="H14" i="50"/>
  <c r="I14" i="50"/>
  <c r="J14" i="50"/>
  <c r="K14" i="50"/>
  <c r="L14" i="50"/>
  <c r="M14" i="50"/>
  <c r="N14" i="50"/>
  <c r="O14" i="50"/>
  <c r="P14" i="50"/>
  <c r="P15" i="50"/>
  <c r="O15" i="50"/>
  <c r="N15" i="50"/>
  <c r="M15" i="50"/>
  <c r="L15" i="50"/>
  <c r="Q119" i="17"/>
  <c r="R119" i="17"/>
  <c r="S119" i="17"/>
  <c r="S76" i="9" s="1"/>
  <c r="T119" i="17"/>
  <c r="T76" i="9" s="1"/>
  <c r="U119" i="17"/>
  <c r="U76" i="9" s="1"/>
  <c r="P119" i="17"/>
  <c r="P76" i="9" s="1"/>
  <c r="Q112" i="17"/>
  <c r="Q13" i="17" s="1"/>
  <c r="R112" i="17"/>
  <c r="R13" i="17"/>
  <c r="S112" i="17"/>
  <c r="S13" i="17"/>
  <c r="T112" i="17"/>
  <c r="T13" i="17" s="1"/>
  <c r="U112" i="17"/>
  <c r="U13" i="17" s="1"/>
  <c r="U40" i="27" s="1"/>
  <c r="P112" i="17"/>
  <c r="P13" i="17" s="1"/>
  <c r="Q83" i="17"/>
  <c r="R83" i="17"/>
  <c r="S83" i="17"/>
  <c r="S84" i="17" s="1"/>
  <c r="S8" i="17" s="1"/>
  <c r="T83" i="17"/>
  <c r="T84" i="17" s="1"/>
  <c r="T8" i="17" s="1"/>
  <c r="U83" i="17"/>
  <c r="P83" i="17"/>
  <c r="Q76" i="17"/>
  <c r="R76" i="17"/>
  <c r="S76" i="17"/>
  <c r="T76" i="17"/>
  <c r="U76" i="17"/>
  <c r="P76" i="17"/>
  <c r="W25" i="48"/>
  <c r="X25" i="48" s="1"/>
  <c r="Y25" i="48" s="1"/>
  <c r="Z25" i="48" s="1"/>
  <c r="AA25" i="48" s="1"/>
  <c r="AC7" i="48"/>
  <c r="AC6" i="48"/>
  <c r="T16" i="48"/>
  <c r="U16" i="48"/>
  <c r="T17" i="48"/>
  <c r="Q16" i="1"/>
  <c r="K16" i="1"/>
  <c r="J16" i="1"/>
  <c r="I16" i="1"/>
  <c r="H16" i="1"/>
  <c r="G16" i="1"/>
  <c r="P22" i="26"/>
  <c r="P53" i="26" s="1"/>
  <c r="O22" i="26"/>
  <c r="O23" i="26" s="1"/>
  <c r="N22" i="26"/>
  <c r="M22" i="26"/>
  <c r="L22" i="26"/>
  <c r="K22" i="26"/>
  <c r="J22" i="26"/>
  <c r="K23" i="26" s="1"/>
  <c r="I22" i="26"/>
  <c r="I53" i="26" s="1"/>
  <c r="H22" i="26"/>
  <c r="H53" i="26" s="1"/>
  <c r="G22" i="26"/>
  <c r="G23" i="26" s="1"/>
  <c r="M109" i="9"/>
  <c r="M26" i="6" s="1"/>
  <c r="P49" i="26"/>
  <c r="P109" i="9" s="1"/>
  <c r="P26" i="6" s="1"/>
  <c r="O49" i="26"/>
  <c r="L29" i="43"/>
  <c r="Q55" i="1"/>
  <c r="Q54" i="1"/>
  <c r="L19" i="43"/>
  <c r="L20" i="43" s="1"/>
  <c r="U19" i="43"/>
  <c r="T19" i="43"/>
  <c r="T20" i="43" s="1"/>
  <c r="S19" i="43"/>
  <c r="Q19" i="43"/>
  <c r="P19" i="43"/>
  <c r="P20" i="43" s="1"/>
  <c r="O19" i="43"/>
  <c r="O20" i="43" s="1"/>
  <c r="N19" i="43"/>
  <c r="N20" i="43" s="1"/>
  <c r="Q20" i="43"/>
  <c r="S20" i="43"/>
  <c r="U20" i="43"/>
  <c r="R54" i="1"/>
  <c r="AD8" i="43"/>
  <c r="AA54" i="1" s="1"/>
  <c r="AD9" i="43"/>
  <c r="B1" i="43"/>
  <c r="B1" i="42"/>
  <c r="M29" i="43"/>
  <c r="M19" i="43"/>
  <c r="N33" i="43"/>
  <c r="M20" i="43"/>
  <c r="M21" i="43" s="1"/>
  <c r="S8" i="43"/>
  <c r="S54" i="1" s="1"/>
  <c r="S9" i="43"/>
  <c r="T9" i="43" s="1"/>
  <c r="R55" i="1"/>
  <c r="M33" i="43"/>
  <c r="M32" i="43"/>
  <c r="M35" i="43" s="1"/>
  <c r="N29" i="43"/>
  <c r="AD7" i="43"/>
  <c r="AA53" i="1" s="1"/>
  <c r="AA56" i="1" s="1"/>
  <c r="Q53" i="1"/>
  <c r="O33" i="43"/>
  <c r="O32" i="43"/>
  <c r="O35" i="43" s="1"/>
  <c r="Q10" i="43"/>
  <c r="Q32" i="43" s="1"/>
  <c r="R11" i="10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R10" i="10"/>
  <c r="S10" i="10"/>
  <c r="T10" i="10" s="1"/>
  <c r="U10" i="10" s="1"/>
  <c r="V10" i="10" s="1"/>
  <c r="W10" i="10" s="1"/>
  <c r="X10" i="10" s="1"/>
  <c r="Y10" i="10" s="1"/>
  <c r="Z10" i="10" s="1"/>
  <c r="AA10" i="10" s="1"/>
  <c r="AB10" i="10" s="1"/>
  <c r="B1" i="41"/>
  <c r="V26" i="10"/>
  <c r="R53" i="1"/>
  <c r="R33" i="43"/>
  <c r="R32" i="43"/>
  <c r="S7" i="43"/>
  <c r="S53" i="1" s="1"/>
  <c r="O29" i="43"/>
  <c r="N66" i="6"/>
  <c r="U26" i="10"/>
  <c r="AD24" i="43"/>
  <c r="U68" i="2"/>
  <c r="U25" i="8"/>
  <c r="U29" i="1" s="1"/>
  <c r="N64" i="6"/>
  <c r="P29" i="43"/>
  <c r="L10" i="42"/>
  <c r="L29" i="6"/>
  <c r="Q23" i="42"/>
  <c r="AD23" i="42" s="1"/>
  <c r="P14" i="42"/>
  <c r="AD9" i="42"/>
  <c r="N29" i="6"/>
  <c r="P29" i="6"/>
  <c r="S23" i="42"/>
  <c r="T23" i="42" s="1"/>
  <c r="O28" i="42"/>
  <c r="O14" i="42"/>
  <c r="M19" i="42"/>
  <c r="AD29" i="42"/>
  <c r="Q128" i="9"/>
  <c r="Q29" i="6" s="1"/>
  <c r="M29" i="6"/>
  <c r="R128" i="9"/>
  <c r="R29" i="6" s="1"/>
  <c r="Q60" i="10"/>
  <c r="Q62" i="10" s="1"/>
  <c r="S29" i="42"/>
  <c r="S128" i="9" s="1"/>
  <c r="S29" i="6" s="1"/>
  <c r="T29" i="42"/>
  <c r="U29" i="42" s="1"/>
  <c r="M30" i="1"/>
  <c r="N30" i="1"/>
  <c r="L30" i="1"/>
  <c r="U46" i="41"/>
  <c r="T46" i="41"/>
  <c r="U38" i="41"/>
  <c r="T38" i="41"/>
  <c r="U23" i="41"/>
  <c r="T23" i="41"/>
  <c r="U17" i="41"/>
  <c r="U27" i="41" s="1"/>
  <c r="U48" i="41" s="1"/>
  <c r="T17" i="41"/>
  <c r="U12" i="41"/>
  <c r="T12" i="41"/>
  <c r="T48" i="41" s="1"/>
  <c r="T27" i="41"/>
  <c r="L126" i="9"/>
  <c r="L28" i="6" s="1"/>
  <c r="U30" i="17"/>
  <c r="U75" i="9" s="1"/>
  <c r="T30" i="17"/>
  <c r="T75" i="9" s="1"/>
  <c r="S30" i="17"/>
  <c r="S75" i="9" s="1"/>
  <c r="R30" i="17"/>
  <c r="R75" i="9" s="1"/>
  <c r="Q30" i="17"/>
  <c r="Q75" i="9" s="1"/>
  <c r="P30" i="17"/>
  <c r="P75" i="9" s="1"/>
  <c r="O30" i="17"/>
  <c r="N30" i="17"/>
  <c r="N75" i="9" s="1"/>
  <c r="M30" i="17"/>
  <c r="M75" i="9" s="1"/>
  <c r="U23" i="17"/>
  <c r="U74" i="9" s="1"/>
  <c r="T23" i="17"/>
  <c r="T74" i="9" s="1"/>
  <c r="S23" i="17"/>
  <c r="S74" i="9" s="1"/>
  <c r="R23" i="17"/>
  <c r="Q23" i="17"/>
  <c r="P23" i="17"/>
  <c r="P74" i="9" s="1"/>
  <c r="O23" i="17"/>
  <c r="O74" i="9" s="1"/>
  <c r="N23" i="17"/>
  <c r="N31" i="17" s="1"/>
  <c r="N6" i="17" s="1"/>
  <c r="M23" i="17"/>
  <c r="M74" i="9" s="1"/>
  <c r="L119" i="17"/>
  <c r="L126" i="17" s="1"/>
  <c r="L14" i="17" s="1"/>
  <c r="L76" i="9"/>
  <c r="M119" i="17"/>
  <c r="M76" i="9"/>
  <c r="N119" i="17"/>
  <c r="N76" i="9" s="1"/>
  <c r="O119" i="17"/>
  <c r="O126" i="17" s="1"/>
  <c r="O14" i="17" s="1"/>
  <c r="Q76" i="9"/>
  <c r="B121" i="17"/>
  <c r="B122" i="17"/>
  <c r="B123" i="17"/>
  <c r="L125" i="17"/>
  <c r="L77" i="9"/>
  <c r="M125" i="17"/>
  <c r="M77" i="9" s="1"/>
  <c r="N125" i="17"/>
  <c r="N77" i="9" s="1"/>
  <c r="O125" i="17"/>
  <c r="O77" i="9" s="1"/>
  <c r="P125" i="17"/>
  <c r="P77" i="9" s="1"/>
  <c r="Q125" i="17"/>
  <c r="Q77" i="9" s="1"/>
  <c r="R125" i="17"/>
  <c r="R77" i="9" s="1"/>
  <c r="S125" i="17"/>
  <c r="S77" i="9" s="1"/>
  <c r="T125" i="17"/>
  <c r="T77" i="9"/>
  <c r="U125" i="17"/>
  <c r="U77" i="9" s="1"/>
  <c r="U52" i="17"/>
  <c r="U72" i="9" s="1"/>
  <c r="T52" i="17"/>
  <c r="T72" i="9" s="1"/>
  <c r="T67" i="17"/>
  <c r="T73" i="9" s="1"/>
  <c r="N42" i="9"/>
  <c r="O42" i="9"/>
  <c r="Q74" i="9"/>
  <c r="O31" i="17"/>
  <c r="O6" i="17" s="1"/>
  <c r="O75" i="9"/>
  <c r="R74" i="9"/>
  <c r="M16" i="9"/>
  <c r="L25" i="9"/>
  <c r="M10" i="9"/>
  <c r="M16" i="6" s="1"/>
  <c r="L86" i="9"/>
  <c r="M92" i="9"/>
  <c r="M25" i="6"/>
  <c r="L92" i="9"/>
  <c r="L25" i="6"/>
  <c r="M126" i="17"/>
  <c r="M14" i="17" s="1"/>
  <c r="M25" i="9"/>
  <c r="N10" i="9"/>
  <c r="L21" i="9"/>
  <c r="O50" i="9"/>
  <c r="O18" i="6" s="1"/>
  <c r="N16" i="9"/>
  <c r="N26" i="9" s="1"/>
  <c r="N17" i="6" s="1"/>
  <c r="M21" i="9"/>
  <c r="L16" i="9"/>
  <c r="L10" i="9"/>
  <c r="L16" i="6" s="1"/>
  <c r="M86" i="9"/>
  <c r="N92" i="9"/>
  <c r="N24" i="6" s="1"/>
  <c r="N86" i="9"/>
  <c r="N25" i="9"/>
  <c r="N21" i="9"/>
  <c r="O25" i="9"/>
  <c r="O92" i="9"/>
  <c r="O24" i="6" s="1"/>
  <c r="O86" i="9"/>
  <c r="O21" i="9"/>
  <c r="O16" i="9"/>
  <c r="O26" i="9" s="1"/>
  <c r="O17" i="6" s="1"/>
  <c r="L26" i="9"/>
  <c r="N25" i="6"/>
  <c r="O25" i="6"/>
  <c r="Q106" i="9"/>
  <c r="P25" i="8"/>
  <c r="P45" i="8" s="1"/>
  <c r="R33" i="10"/>
  <c r="S33" i="10" s="1"/>
  <c r="R32" i="10"/>
  <c r="R9" i="10"/>
  <c r="S32" i="10"/>
  <c r="T32" i="10" s="1"/>
  <c r="Q25" i="6"/>
  <c r="R106" i="9"/>
  <c r="S9" i="10"/>
  <c r="T9" i="10" s="1"/>
  <c r="U9" i="10" s="1"/>
  <c r="V9" i="10" s="1"/>
  <c r="W9" i="10" s="1"/>
  <c r="X9" i="10" s="1"/>
  <c r="Y9" i="10" s="1"/>
  <c r="Z9" i="10" s="1"/>
  <c r="AA9" i="10" s="1"/>
  <c r="AB9" i="10" s="1"/>
  <c r="R25" i="6"/>
  <c r="R8" i="10"/>
  <c r="S8" i="10" s="1"/>
  <c r="Q14" i="10"/>
  <c r="Q16" i="10" s="1"/>
  <c r="R12" i="10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U28" i="26"/>
  <c r="S28" i="26"/>
  <c r="T52" i="26"/>
  <c r="T28" i="26"/>
  <c r="R16" i="1"/>
  <c r="S16" i="1"/>
  <c r="G25" i="8"/>
  <c r="G29" i="1" s="1"/>
  <c r="T25" i="8"/>
  <c r="T29" i="1" s="1"/>
  <c r="S25" i="8"/>
  <c r="S29" i="1" s="1"/>
  <c r="R25" i="8"/>
  <c r="R29" i="1" s="1"/>
  <c r="Q25" i="8"/>
  <c r="Q45" i="8" s="1"/>
  <c r="G45" i="8"/>
  <c r="T69" i="27"/>
  <c r="P27" i="27"/>
  <c r="E27" i="27"/>
  <c r="Y12" i="2"/>
  <c r="Z12" i="2" s="1"/>
  <c r="AA12" i="2" s="1"/>
  <c r="AB12" i="2" s="1"/>
  <c r="S13" i="2"/>
  <c r="T13" i="2" s="1"/>
  <c r="U13" i="2" s="1"/>
  <c r="V13" i="2" s="1"/>
  <c r="W13" i="2" s="1"/>
  <c r="Y13" i="2" s="1"/>
  <c r="Z13" i="2" s="1"/>
  <c r="AA13" i="2" s="1"/>
  <c r="AB13" i="2" s="1"/>
  <c r="Y8" i="2"/>
  <c r="Z8" i="2" s="1"/>
  <c r="AA8" i="2" s="1"/>
  <c r="AB8" i="2" s="1"/>
  <c r="U18" i="2"/>
  <c r="V18" i="2" s="1"/>
  <c r="Y18" i="2" s="1"/>
  <c r="Z18" i="2" s="1"/>
  <c r="AA18" i="2" s="1"/>
  <c r="AB18" i="2" s="1"/>
  <c r="S17" i="2"/>
  <c r="T17" i="2" s="1"/>
  <c r="U17" i="2" s="1"/>
  <c r="V17" i="2" s="1"/>
  <c r="W17" i="2" s="1"/>
  <c r="Y17" i="2" s="1"/>
  <c r="Z17" i="2" s="1"/>
  <c r="AA17" i="2" s="1"/>
  <c r="AB17" i="2" s="1"/>
  <c r="S9" i="2"/>
  <c r="T9" i="2" s="1"/>
  <c r="U9" i="2" s="1"/>
  <c r="V9" i="2" s="1"/>
  <c r="W9" i="2" s="1"/>
  <c r="Y9" i="2" s="1"/>
  <c r="Z9" i="2" s="1"/>
  <c r="AA9" i="2" s="1"/>
  <c r="AB9" i="2" s="1"/>
  <c r="S14" i="2"/>
  <c r="T14" i="2"/>
  <c r="U14" i="2" s="1"/>
  <c r="V14" i="2" s="1"/>
  <c r="W14" i="2" s="1"/>
  <c r="Y14" i="2" s="1"/>
  <c r="Z14" i="2" s="1"/>
  <c r="AA14" i="2" s="1"/>
  <c r="AB14" i="2" s="1"/>
  <c r="S11" i="2"/>
  <c r="T11" i="2" s="1"/>
  <c r="U11" i="2" s="1"/>
  <c r="V11" i="2" s="1"/>
  <c r="Y11" i="2" s="1"/>
  <c r="Z11" i="2" s="1"/>
  <c r="AA11" i="2" s="1"/>
  <c r="AB11" i="2" s="1"/>
  <c r="S16" i="2"/>
  <c r="T16" i="2" s="1"/>
  <c r="U16" i="2" s="1"/>
  <c r="V16" i="2" s="1"/>
  <c r="W16" i="2" s="1"/>
  <c r="Y16" i="2" s="1"/>
  <c r="Z16" i="2" s="1"/>
  <c r="AA16" i="2" s="1"/>
  <c r="AB16" i="2" s="1"/>
  <c r="S10" i="2"/>
  <c r="T10" i="2"/>
  <c r="U10" i="2" s="1"/>
  <c r="V10" i="2" s="1"/>
  <c r="W10" i="2" s="1"/>
  <c r="Y10" i="2" s="1"/>
  <c r="Z10" i="2" s="1"/>
  <c r="AA10" i="2" s="1"/>
  <c r="AB10" i="2" s="1"/>
  <c r="S15" i="2"/>
  <c r="T15" i="2" s="1"/>
  <c r="U15" i="2" s="1"/>
  <c r="V15" i="2" s="1"/>
  <c r="W15" i="2" s="1"/>
  <c r="Y15" i="2" s="1"/>
  <c r="Z15" i="2" s="1"/>
  <c r="AA15" i="2" s="1"/>
  <c r="AB15" i="2" s="1"/>
  <c r="Q27" i="27"/>
  <c r="O27" i="27"/>
  <c r="M27" i="27"/>
  <c r="K27" i="27"/>
  <c r="I27" i="27"/>
  <c r="H27" i="27"/>
  <c r="G27" i="27"/>
  <c r="F27" i="27"/>
  <c r="D27" i="27"/>
  <c r="T26" i="10"/>
  <c r="R26" i="10"/>
  <c r="R28" i="10" s="1"/>
  <c r="S26" i="10"/>
  <c r="A1" i="10"/>
  <c r="Q49" i="26"/>
  <c r="Q54" i="26" s="1"/>
  <c r="R49" i="26"/>
  <c r="R109" i="9" s="1"/>
  <c r="R26" i="6" s="1"/>
  <c r="S49" i="26"/>
  <c r="S109" i="9" s="1"/>
  <c r="S26" i="6" s="1"/>
  <c r="E125" i="8"/>
  <c r="T70" i="27"/>
  <c r="C9" i="27"/>
  <c r="O68" i="2"/>
  <c r="U67" i="17"/>
  <c r="U73" i="9" s="1"/>
  <c r="Q67" i="17"/>
  <c r="Q73" i="9" s="1"/>
  <c r="P67" i="17"/>
  <c r="P73" i="9" s="1"/>
  <c r="M67" i="17"/>
  <c r="M73" i="9" s="1"/>
  <c r="L67" i="17"/>
  <c r="L73" i="9" s="1"/>
  <c r="S52" i="17"/>
  <c r="S72" i="9" s="1"/>
  <c r="R52" i="17"/>
  <c r="R72" i="9" s="1"/>
  <c r="P52" i="17"/>
  <c r="P72" i="9" s="1"/>
  <c r="O52" i="17"/>
  <c r="O72" i="9" s="1"/>
  <c r="N52" i="17"/>
  <c r="N72" i="9" s="1"/>
  <c r="L52" i="17"/>
  <c r="L72" i="9" s="1"/>
  <c r="S67" i="17"/>
  <c r="S73" i="9"/>
  <c r="R67" i="17"/>
  <c r="R73" i="9"/>
  <c r="O67" i="17"/>
  <c r="O73" i="9" s="1"/>
  <c r="N67" i="17"/>
  <c r="N73" i="9" s="1"/>
  <c r="Q52" i="17"/>
  <c r="Q72" i="9" s="1"/>
  <c r="M52" i="17"/>
  <c r="M72" i="9" s="1"/>
  <c r="B54" i="17"/>
  <c r="S24" i="9"/>
  <c r="S19" i="9"/>
  <c r="O83" i="17"/>
  <c r="N83" i="17"/>
  <c r="M83" i="17"/>
  <c r="L83" i="17"/>
  <c r="B78" i="17"/>
  <c r="O76" i="17"/>
  <c r="N76" i="17"/>
  <c r="M76" i="17"/>
  <c r="M84" i="17" s="1"/>
  <c r="M8" i="17" s="1"/>
  <c r="L76" i="17"/>
  <c r="L84" i="17" s="1"/>
  <c r="L8" i="17" s="1"/>
  <c r="L30" i="17"/>
  <c r="L75" i="9" s="1"/>
  <c r="L23" i="17"/>
  <c r="L74" i="9"/>
  <c r="O112" i="17"/>
  <c r="O13" i="17" s="1"/>
  <c r="N112" i="17"/>
  <c r="N13" i="17" s="1"/>
  <c r="M112" i="17"/>
  <c r="M13" i="17" s="1"/>
  <c r="L112" i="17"/>
  <c r="L13" i="17" s="1"/>
  <c r="K112" i="17"/>
  <c r="K13" i="17" s="1"/>
  <c r="J112" i="17"/>
  <c r="J13" i="17" s="1"/>
  <c r="I112" i="17"/>
  <c r="I13" i="17" s="1"/>
  <c r="H112" i="17"/>
  <c r="H13" i="17" s="1"/>
  <c r="G112" i="17"/>
  <c r="G13" i="17" s="1"/>
  <c r="F112" i="17"/>
  <c r="F13" i="17" s="1"/>
  <c r="E112" i="17"/>
  <c r="E13" i="17" s="1"/>
  <c r="D112" i="17"/>
  <c r="D13" i="17" s="1"/>
  <c r="C112" i="17"/>
  <c r="C13" i="17" s="1"/>
  <c r="Q21" i="9"/>
  <c r="P16" i="9"/>
  <c r="P21" i="9"/>
  <c r="P25" i="9"/>
  <c r="P84" i="17"/>
  <c r="P8" i="17" s="1"/>
  <c r="R84" i="17"/>
  <c r="R8" i="17" s="1"/>
  <c r="Q84" i="17"/>
  <c r="Q8" i="17" s="1"/>
  <c r="L31" i="17"/>
  <c r="L6" i="17" s="1"/>
  <c r="B1" i="17"/>
  <c r="Q25" i="9"/>
  <c r="R21" i="9"/>
  <c r="Q26" i="9"/>
  <c r="Q17" i="6" s="1"/>
  <c r="Q10" i="42"/>
  <c r="Q35" i="1" s="1"/>
  <c r="R10" i="42"/>
  <c r="R35" i="1"/>
  <c r="R25" i="9"/>
  <c r="R26" i="9"/>
  <c r="R17" i="6" s="1"/>
  <c r="R36" i="42"/>
  <c r="Q14" i="42"/>
  <c r="R14" i="42"/>
  <c r="P10" i="9"/>
  <c r="P16" i="6" s="1"/>
  <c r="B1" i="27"/>
  <c r="F69" i="27"/>
  <c r="E69" i="27"/>
  <c r="D69" i="27"/>
  <c r="C69" i="27"/>
  <c r="P78" i="27"/>
  <c r="O78" i="27"/>
  <c r="N78" i="27"/>
  <c r="M77" i="27"/>
  <c r="L84" i="27"/>
  <c r="K71" i="27"/>
  <c r="J78" i="27"/>
  <c r="I70" i="27"/>
  <c r="H78" i="27"/>
  <c r="G72" i="27"/>
  <c r="F70" i="27"/>
  <c r="C35" i="27"/>
  <c r="Q69" i="27"/>
  <c r="M69" i="27"/>
  <c r="I69" i="27"/>
  <c r="F71" i="27"/>
  <c r="L83" i="27"/>
  <c r="M72" i="27"/>
  <c r="P10" i="27"/>
  <c r="G36" i="27"/>
  <c r="F10" i="27"/>
  <c r="H69" i="27"/>
  <c r="G69" i="27"/>
  <c r="O69" i="27"/>
  <c r="N69" i="27"/>
  <c r="J69" i="27"/>
  <c r="R69" i="27"/>
  <c r="K69" i="27"/>
  <c r="S69" i="27"/>
  <c r="Q71" i="27"/>
  <c r="U69" i="27"/>
  <c r="P69" i="27"/>
  <c r="L69" i="27"/>
  <c r="R83" i="27"/>
  <c r="S114" i="9"/>
  <c r="S76" i="27"/>
  <c r="U71" i="27"/>
  <c r="U72" i="27"/>
  <c r="U76" i="27"/>
  <c r="U84" i="27"/>
  <c r="U36" i="27"/>
  <c r="V36" i="27"/>
  <c r="N25" i="8"/>
  <c r="N45" i="8" s="1"/>
  <c r="R28" i="26"/>
  <c r="Q28" i="26"/>
  <c r="P28" i="26"/>
  <c r="B1" i="9"/>
  <c r="B1" i="8"/>
  <c r="B1" i="2"/>
  <c r="B1" i="26"/>
  <c r="B1" i="1"/>
  <c r="N29" i="1"/>
  <c r="J52" i="26"/>
  <c r="F52" i="26"/>
  <c r="N54" i="26"/>
  <c r="J54" i="26"/>
  <c r="F54" i="26"/>
  <c r="Q52" i="26"/>
  <c r="P52" i="26"/>
  <c r="M52" i="26"/>
  <c r="I52" i="26"/>
  <c r="H52" i="26"/>
  <c r="E52" i="26"/>
  <c r="D52" i="26"/>
  <c r="C52" i="26"/>
  <c r="D23" i="26"/>
  <c r="Q22" i="26"/>
  <c r="F53" i="26"/>
  <c r="R52" i="26"/>
  <c r="N52" i="26"/>
  <c r="L52" i="26"/>
  <c r="U52" i="26"/>
  <c r="D53" i="26"/>
  <c r="M54" i="26"/>
  <c r="K54" i="26"/>
  <c r="F55" i="26"/>
  <c r="G52" i="26"/>
  <c r="K52" i="26"/>
  <c r="O52" i="26"/>
  <c r="S52" i="26"/>
  <c r="C53" i="26"/>
  <c r="K53" i="26"/>
  <c r="O53" i="26"/>
  <c r="K55" i="26"/>
  <c r="S54" i="26"/>
  <c r="L25" i="8"/>
  <c r="L29" i="1" s="1"/>
  <c r="N23" i="6"/>
  <c r="O23" i="6"/>
  <c r="M23" i="6"/>
  <c r="M24" i="6"/>
  <c r="S54" i="9"/>
  <c r="O35" i="2"/>
  <c r="O24" i="1" s="1"/>
  <c r="N20" i="6"/>
  <c r="N19" i="6"/>
  <c r="N21" i="6"/>
  <c r="N16" i="6"/>
  <c r="O20" i="6"/>
  <c r="L20" i="6"/>
  <c r="Q20" i="6"/>
  <c r="P20" i="6"/>
  <c r="R63" i="9"/>
  <c r="R20" i="6" s="1"/>
  <c r="L23" i="6"/>
  <c r="L24" i="6"/>
  <c r="O21" i="6"/>
  <c r="L21" i="6"/>
  <c r="M19" i="6"/>
  <c r="L19" i="6"/>
  <c r="O10" i="9"/>
  <c r="O16" i="6" s="1"/>
  <c r="K30" i="1"/>
  <c r="J30" i="1"/>
  <c r="I30" i="1"/>
  <c r="H30" i="1"/>
  <c r="I25" i="8"/>
  <c r="I29" i="1" s="1"/>
  <c r="I31" i="1" s="1"/>
  <c r="I11" i="6" s="1"/>
  <c r="H25" i="8"/>
  <c r="E25" i="8"/>
  <c r="D25" i="8"/>
  <c r="M25" i="8"/>
  <c r="F25" i="8"/>
  <c r="K25" i="8"/>
  <c r="K29" i="1" s="1"/>
  <c r="R68" i="2"/>
  <c r="Q68" i="2"/>
  <c r="P68" i="2"/>
  <c r="N68" i="2"/>
  <c r="M68" i="2"/>
  <c r="L68" i="2"/>
  <c r="L70" i="2" s="1"/>
  <c r="K68" i="2"/>
  <c r="K70" i="2" s="1"/>
  <c r="J68" i="2"/>
  <c r="J70" i="2" s="1"/>
  <c r="E68" i="2"/>
  <c r="E70" i="2" s="1"/>
  <c r="E71" i="2" s="1"/>
  <c r="D68" i="2"/>
  <c r="E36" i="2" s="1"/>
  <c r="D70" i="2"/>
  <c r="D71" i="2" s="1"/>
  <c r="C68" i="2"/>
  <c r="C70" i="2" s="1"/>
  <c r="C71" i="2" s="1"/>
  <c r="H68" i="2"/>
  <c r="H70" i="2" s="1"/>
  <c r="H71" i="2" s="1"/>
  <c r="G68" i="2"/>
  <c r="H36" i="2" s="1"/>
  <c r="F68" i="2"/>
  <c r="G36" i="2" s="1"/>
  <c r="I68" i="2"/>
  <c r="I70" i="2" s="1"/>
  <c r="M35" i="2"/>
  <c r="L35" i="2"/>
  <c r="K35" i="2"/>
  <c r="K36" i="2" s="1"/>
  <c r="H35" i="2"/>
  <c r="G35" i="2"/>
  <c r="G24" i="1" s="1"/>
  <c r="F35" i="2"/>
  <c r="E35" i="2"/>
  <c r="D35" i="2"/>
  <c r="D24" i="1" s="1"/>
  <c r="D26" i="1" s="1"/>
  <c r="D10" i="6" s="1"/>
  <c r="C24" i="1"/>
  <c r="I35" i="2"/>
  <c r="I24" i="1" s="1"/>
  <c r="H24" i="1"/>
  <c r="H26" i="1"/>
  <c r="H10" i="6" s="1"/>
  <c r="K24" i="1"/>
  <c r="M24" i="1"/>
  <c r="M26" i="1"/>
  <c r="M10" i="6" s="1"/>
  <c r="L24" i="1"/>
  <c r="E24" i="1"/>
  <c r="F24" i="1"/>
  <c r="C29" i="1"/>
  <c r="C31" i="1" s="1"/>
  <c r="C11" i="6" s="1"/>
  <c r="E29" i="1"/>
  <c r="E45" i="8"/>
  <c r="H29" i="1"/>
  <c r="H45" i="8"/>
  <c r="D29" i="1"/>
  <c r="D45" i="8"/>
  <c r="I45" i="8"/>
  <c r="F29" i="1"/>
  <c r="F31" i="1" s="1"/>
  <c r="F11" i="6" s="1"/>
  <c r="F45" i="8"/>
  <c r="M29" i="1"/>
  <c r="M45" i="8"/>
  <c r="O19" i="6"/>
  <c r="P29" i="1"/>
  <c r="P21" i="6"/>
  <c r="L17" i="6"/>
  <c r="P92" i="9"/>
  <c r="P24" i="6" s="1"/>
  <c r="R69" i="9"/>
  <c r="R21" i="6" s="1"/>
  <c r="J25" i="8"/>
  <c r="J45" i="8" s="1"/>
  <c r="O25" i="8"/>
  <c r="O45" i="8" s="1"/>
  <c r="N35" i="2"/>
  <c r="N24" i="1" s="1"/>
  <c r="J35" i="2"/>
  <c r="J24" i="1" s="1"/>
  <c r="P35" i="2"/>
  <c r="P24" i="1" s="1"/>
  <c r="P26" i="1" s="1"/>
  <c r="P10" i="6" s="1"/>
  <c r="J36" i="2"/>
  <c r="O29" i="1"/>
  <c r="J29" i="1"/>
  <c r="Q19" i="6"/>
  <c r="P86" i="9"/>
  <c r="Q92" i="9"/>
  <c r="P30" i="1"/>
  <c r="Q30" i="1"/>
  <c r="R57" i="9"/>
  <c r="R42" i="9"/>
  <c r="Q10" i="9"/>
  <c r="Q16" i="6" s="1"/>
  <c r="R19" i="6"/>
  <c r="AD56" i="9"/>
  <c r="Q24" i="6"/>
  <c r="Q21" i="6"/>
  <c r="Q35" i="2"/>
  <c r="Q24" i="1" s="1"/>
  <c r="Q86" i="9"/>
  <c r="R92" i="9"/>
  <c r="R24" i="6" s="1"/>
  <c r="R10" i="9"/>
  <c r="R16" i="6" s="1"/>
  <c r="Q23" i="6"/>
  <c r="S10" i="9"/>
  <c r="S16" i="6" s="1"/>
  <c r="R35" i="2"/>
  <c r="R24" i="1" s="1"/>
  <c r="R86" i="9"/>
  <c r="R23" i="6" s="1"/>
  <c r="R22" i="26"/>
  <c r="S22" i="26"/>
  <c r="S53" i="26" s="1"/>
  <c r="S113" i="9"/>
  <c r="Z49" i="6" l="1"/>
  <c r="AA44" i="6"/>
  <c r="Z48" i="6"/>
  <c r="AA38" i="6"/>
  <c r="V62" i="9"/>
  <c r="W62" i="9" s="1"/>
  <c r="X62" i="9" s="1"/>
  <c r="Y62" i="9" s="1"/>
  <c r="Z62" i="9" s="1"/>
  <c r="AA62" i="9" s="1"/>
  <c r="AB62" i="9" s="1"/>
  <c r="S63" i="9"/>
  <c r="S20" i="6" s="1"/>
  <c r="Y68" i="17"/>
  <c r="Y7" i="17" s="1"/>
  <c r="Y39" i="27" s="1"/>
  <c r="Y42" i="27" s="1"/>
  <c r="Z68" i="17"/>
  <c r="Z7" i="17" s="1"/>
  <c r="Z39" i="27" s="1"/>
  <c r="W68" i="17"/>
  <c r="W7" i="17" s="1"/>
  <c r="W39" i="27" s="1"/>
  <c r="W42" i="27" s="1"/>
  <c r="AB95" i="9"/>
  <c r="AB8" i="26"/>
  <c r="AA16" i="1"/>
  <c r="X45" i="8"/>
  <c r="Z31" i="1"/>
  <c r="Z11" i="6" s="1"/>
  <c r="Z29" i="1"/>
  <c r="S92" i="9"/>
  <c r="S24" i="6" s="1"/>
  <c r="S45" i="8"/>
  <c r="Q29" i="1"/>
  <c r="R31" i="1"/>
  <c r="R11" i="6" s="1"/>
  <c r="Q31" i="1"/>
  <c r="Q11" i="6" s="1"/>
  <c r="P31" i="1"/>
  <c r="P11" i="6" s="1"/>
  <c r="V68" i="9"/>
  <c r="W68" i="9" s="1"/>
  <c r="X68" i="9" s="1"/>
  <c r="Y68" i="9" s="1"/>
  <c r="Z68" i="9" s="1"/>
  <c r="AA68" i="9" s="1"/>
  <c r="AB68" i="9" s="1"/>
  <c r="S57" i="9"/>
  <c r="S19" i="6" s="1"/>
  <c r="E33" i="43"/>
  <c r="O56" i="1"/>
  <c r="O41" i="6" s="1"/>
  <c r="O49" i="6" s="1"/>
  <c r="G56" i="1"/>
  <c r="G41" i="6" s="1"/>
  <c r="R21" i="43"/>
  <c r="K13" i="43"/>
  <c r="R56" i="1"/>
  <c r="R41" i="6" s="1"/>
  <c r="R49" i="6" s="1"/>
  <c r="K21" i="43"/>
  <c r="N35" i="43"/>
  <c r="N36" i="43" s="1"/>
  <c r="N38" i="43" s="1"/>
  <c r="L21" i="43"/>
  <c r="C35" i="43"/>
  <c r="I13" i="43"/>
  <c r="I21" i="43"/>
  <c r="M56" i="1"/>
  <c r="M41" i="6" s="1"/>
  <c r="J21" i="43"/>
  <c r="R35" i="43"/>
  <c r="AD19" i="43"/>
  <c r="J33" i="43"/>
  <c r="J35" i="43" s="1"/>
  <c r="L56" i="1"/>
  <c r="L41" i="6" s="1"/>
  <c r="L49" i="6" s="1"/>
  <c r="O21" i="43"/>
  <c r="G33" i="43"/>
  <c r="E35" i="43"/>
  <c r="E42" i="6" s="1"/>
  <c r="E54" i="6" s="1"/>
  <c r="I32" i="43"/>
  <c r="I35" i="43" s="1"/>
  <c r="S55" i="1"/>
  <c r="S56" i="1" s="1"/>
  <c r="S41" i="6" s="1"/>
  <c r="G32" i="43"/>
  <c r="S21" i="9"/>
  <c r="V20" i="9"/>
  <c r="W20" i="9" s="1"/>
  <c r="X20" i="9" s="1"/>
  <c r="Y20" i="9" s="1"/>
  <c r="Z20" i="9" s="1"/>
  <c r="AA20" i="9" s="1"/>
  <c r="AB20" i="9" s="1"/>
  <c r="AD20" i="9"/>
  <c r="Z42" i="27"/>
  <c r="S116" i="9"/>
  <c r="K126" i="9"/>
  <c r="K28" i="6" s="1"/>
  <c r="M31" i="1"/>
  <c r="M11" i="6" s="1"/>
  <c r="AD124" i="9"/>
  <c r="G31" i="1"/>
  <c r="G11" i="6" s="1"/>
  <c r="L31" i="1"/>
  <c r="L11" i="6" s="1"/>
  <c r="I36" i="2"/>
  <c r="J71" i="2"/>
  <c r="I71" i="2"/>
  <c r="L71" i="2"/>
  <c r="F70" i="2"/>
  <c r="F71" i="2" s="1"/>
  <c r="M70" i="2"/>
  <c r="M71" i="2" s="1"/>
  <c r="C55" i="26"/>
  <c r="C56" i="26" s="1"/>
  <c r="D54" i="26"/>
  <c r="C54" i="26"/>
  <c r="N55" i="26"/>
  <c r="G50" i="26"/>
  <c r="O19" i="1"/>
  <c r="O8" i="6" s="1"/>
  <c r="H55" i="26"/>
  <c r="F50" i="26"/>
  <c r="D55" i="26"/>
  <c r="N109" i="9"/>
  <c r="N26" i="6" s="1"/>
  <c r="G54" i="26"/>
  <c r="D50" i="26"/>
  <c r="K31" i="1"/>
  <c r="K11" i="6" s="1"/>
  <c r="H31" i="1"/>
  <c r="H11" i="6" s="1"/>
  <c r="O26" i="1"/>
  <c r="O10" i="6" s="1"/>
  <c r="D31" i="1"/>
  <c r="D11" i="6" s="1"/>
  <c r="N31" i="1"/>
  <c r="N11" i="6" s="1"/>
  <c r="E19" i="1"/>
  <c r="E8" i="6" s="1"/>
  <c r="Q56" i="1"/>
  <c r="Q41" i="6" s="1"/>
  <c r="D19" i="1"/>
  <c r="D8" i="6" s="1"/>
  <c r="J31" i="1"/>
  <c r="J11" i="6" s="1"/>
  <c r="D35" i="6"/>
  <c r="D48" i="6" s="1"/>
  <c r="D66" i="42"/>
  <c r="D31" i="42"/>
  <c r="K174" i="42"/>
  <c r="E157" i="42"/>
  <c r="E174" i="42" s="1"/>
  <c r="J66" i="42"/>
  <c r="R179" i="42"/>
  <c r="P162" i="42"/>
  <c r="F44" i="1"/>
  <c r="AD94" i="42"/>
  <c r="C127" i="42"/>
  <c r="AD10" i="42"/>
  <c r="N14" i="42"/>
  <c r="J38" i="1"/>
  <c r="J50" i="1" s="1"/>
  <c r="D38" i="1"/>
  <c r="J109" i="42"/>
  <c r="P44" i="1"/>
  <c r="AD53" i="42"/>
  <c r="O49" i="42"/>
  <c r="O35" i="6" s="1"/>
  <c r="O48" i="6" s="1"/>
  <c r="E14" i="42"/>
  <c r="E35" i="6" s="1"/>
  <c r="D71" i="42"/>
  <c r="R162" i="42"/>
  <c r="Q109" i="42"/>
  <c r="AD153" i="42"/>
  <c r="Q84" i="42"/>
  <c r="P127" i="42"/>
  <c r="L47" i="1"/>
  <c r="N44" i="1"/>
  <c r="I101" i="42"/>
  <c r="M127" i="42"/>
  <c r="I50" i="1"/>
  <c r="L122" i="42"/>
  <c r="AD122" i="42" s="1"/>
  <c r="W89" i="42"/>
  <c r="J101" i="42"/>
  <c r="Z144" i="42"/>
  <c r="M36" i="42"/>
  <c r="G71" i="42"/>
  <c r="C36" i="6"/>
  <c r="C53" i="6" s="1"/>
  <c r="L144" i="42"/>
  <c r="F162" i="42"/>
  <c r="H144" i="42"/>
  <c r="D44" i="1"/>
  <c r="O162" i="42"/>
  <c r="L174" i="42"/>
  <c r="G89" i="42"/>
  <c r="S98" i="42"/>
  <c r="S78" i="42" s="1"/>
  <c r="S80" i="42" s="1"/>
  <c r="K35" i="6"/>
  <c r="K48" i="6" s="1"/>
  <c r="E71" i="42"/>
  <c r="AD24" i="42"/>
  <c r="P109" i="42"/>
  <c r="AD118" i="42"/>
  <c r="D122" i="42"/>
  <c r="D139" i="42" s="1"/>
  <c r="F157" i="42"/>
  <c r="F174" i="42" s="1"/>
  <c r="O157" i="42"/>
  <c r="AD157" i="42" s="1"/>
  <c r="P41" i="1"/>
  <c r="P50" i="1" s="1"/>
  <c r="P35" i="6" s="1"/>
  <c r="E139" i="42"/>
  <c r="P157" i="42"/>
  <c r="N41" i="1"/>
  <c r="X122" i="42"/>
  <c r="X162" i="42"/>
  <c r="Y157" i="42"/>
  <c r="Q28" i="42"/>
  <c r="AD18" i="42"/>
  <c r="G101" i="42"/>
  <c r="I35" i="6"/>
  <c r="I48" i="6" s="1"/>
  <c r="E66" i="42"/>
  <c r="M47" i="1"/>
  <c r="E162" i="42"/>
  <c r="R19" i="42"/>
  <c r="C38" i="1"/>
  <c r="I36" i="42"/>
  <c r="R127" i="42"/>
  <c r="N122" i="42"/>
  <c r="D174" i="42"/>
  <c r="F127" i="42"/>
  <c r="N174" i="42"/>
  <c r="Y144" i="42"/>
  <c r="C54" i="42"/>
  <c r="E36" i="6"/>
  <c r="E53" i="6" s="1"/>
  <c r="C144" i="42"/>
  <c r="L157" i="42"/>
  <c r="E47" i="1"/>
  <c r="N19" i="42"/>
  <c r="O54" i="42"/>
  <c r="C49" i="42"/>
  <c r="C35" i="1"/>
  <c r="R144" i="42"/>
  <c r="F122" i="42"/>
  <c r="F139" i="42" s="1"/>
  <c r="P179" i="42"/>
  <c r="G127" i="42"/>
  <c r="O19" i="42"/>
  <c r="P136" i="42"/>
  <c r="G162" i="42"/>
  <c r="Y71" i="42"/>
  <c r="S63" i="42"/>
  <c r="S43" i="42" s="1"/>
  <c r="S45" i="42" s="1"/>
  <c r="S71" i="42" s="1"/>
  <c r="L36" i="6"/>
  <c r="L53" i="6" s="1"/>
  <c r="C19" i="42"/>
  <c r="Q89" i="42"/>
  <c r="H127" i="42"/>
  <c r="Q136" i="42"/>
  <c r="X127" i="42"/>
  <c r="Z127" i="42"/>
  <c r="V9" i="9"/>
  <c r="W9" i="9" s="1"/>
  <c r="X9" i="9" s="1"/>
  <c r="Y9" i="9" s="1"/>
  <c r="Z9" i="9" s="1"/>
  <c r="T69" i="9"/>
  <c r="T21" i="6" s="1"/>
  <c r="S69" i="9"/>
  <c r="S21" i="6" s="1"/>
  <c r="S37" i="9"/>
  <c r="S32" i="9"/>
  <c r="R14" i="10"/>
  <c r="R16" i="10" s="1"/>
  <c r="R37" i="10"/>
  <c r="R39" i="10" s="1"/>
  <c r="R47" i="10"/>
  <c r="S28" i="10"/>
  <c r="T28" i="10" s="1"/>
  <c r="U28" i="10" s="1"/>
  <c r="V28" i="10" s="1"/>
  <c r="W28" i="10" s="1"/>
  <c r="X28" i="10" s="1"/>
  <c r="Y28" i="10" s="1"/>
  <c r="Z28" i="10" s="1"/>
  <c r="AA28" i="10" s="1"/>
  <c r="AB28" i="10" s="1"/>
  <c r="U31" i="1"/>
  <c r="U11" i="6" s="1"/>
  <c r="R45" i="8"/>
  <c r="Z45" i="8"/>
  <c r="Y45" i="8"/>
  <c r="X31" i="1"/>
  <c r="X11" i="6" s="1"/>
  <c r="W31" i="1"/>
  <c r="W11" i="6" s="1"/>
  <c r="W45" i="8"/>
  <c r="S30" i="1"/>
  <c r="S31" i="1" s="1"/>
  <c r="S11" i="6" s="1"/>
  <c r="T31" i="1"/>
  <c r="T11" i="6" s="1"/>
  <c r="W22" i="2"/>
  <c r="Y22" i="2" s="1"/>
  <c r="Z22" i="2" s="1"/>
  <c r="AA22" i="2" s="1"/>
  <c r="W28" i="2"/>
  <c r="Y28" i="2" s="1"/>
  <c r="Z28" i="2" s="1"/>
  <c r="AA28" i="2" s="1"/>
  <c r="AB28" i="2" s="1"/>
  <c r="W30" i="2"/>
  <c r="Y30" i="2" s="1"/>
  <c r="Z30" i="2" s="1"/>
  <c r="AA30" i="2" s="1"/>
  <c r="AB30" i="2" s="1"/>
  <c r="W73" i="27"/>
  <c r="N70" i="2"/>
  <c r="N71" i="2" s="1"/>
  <c r="O36" i="2"/>
  <c r="O70" i="2"/>
  <c r="O71" i="2" s="1"/>
  <c r="P36" i="2"/>
  <c r="P70" i="2"/>
  <c r="P71" i="2" s="1"/>
  <c r="Q70" i="2"/>
  <c r="Q71" i="2" s="1"/>
  <c r="R70" i="2"/>
  <c r="R71" i="2" s="1"/>
  <c r="R36" i="2"/>
  <c r="M36" i="2"/>
  <c r="N36" i="2"/>
  <c r="F36" i="2"/>
  <c r="E47" i="27"/>
  <c r="H50" i="26"/>
  <c r="H54" i="26"/>
  <c r="R55" i="26"/>
  <c r="R54" i="26"/>
  <c r="I50" i="26"/>
  <c r="J50" i="26"/>
  <c r="I54" i="26"/>
  <c r="P54" i="26"/>
  <c r="R50" i="26"/>
  <c r="S19" i="1"/>
  <c r="S8" i="6" s="1"/>
  <c r="L19" i="1"/>
  <c r="L8" i="6" s="1"/>
  <c r="H19" i="1"/>
  <c r="H8" i="6" s="1"/>
  <c r="M19" i="1"/>
  <c r="M8" i="6" s="1"/>
  <c r="G55" i="26"/>
  <c r="G56" i="26" s="1"/>
  <c r="G53" i="26"/>
  <c r="N53" i="26"/>
  <c r="O55" i="26"/>
  <c r="O56" i="26" s="1"/>
  <c r="I55" i="26"/>
  <c r="I23" i="26"/>
  <c r="H23" i="26"/>
  <c r="N23" i="26"/>
  <c r="J53" i="26"/>
  <c r="J55" i="26"/>
  <c r="K19" i="1"/>
  <c r="K8" i="6" s="1"/>
  <c r="P55" i="26"/>
  <c r="Q23" i="26"/>
  <c r="P23" i="26"/>
  <c r="J23" i="26"/>
  <c r="M55" i="26"/>
  <c r="N56" i="26" s="1"/>
  <c r="M53" i="26"/>
  <c r="Q55" i="26"/>
  <c r="L23" i="26"/>
  <c r="Q53" i="26"/>
  <c r="F47" i="27"/>
  <c r="L47" i="27"/>
  <c r="I72" i="27"/>
  <c r="D36" i="27"/>
  <c r="I36" i="27"/>
  <c r="I10" i="27"/>
  <c r="S47" i="27"/>
  <c r="R47" i="27"/>
  <c r="Q47" i="27"/>
  <c r="P47" i="27"/>
  <c r="O47" i="27"/>
  <c r="N47" i="27"/>
  <c r="I47" i="27"/>
  <c r="J47" i="27"/>
  <c r="H47" i="27"/>
  <c r="G47" i="27"/>
  <c r="F114" i="9"/>
  <c r="F116" i="9" s="1"/>
  <c r="F27" i="6" s="1"/>
  <c r="D47" i="27"/>
  <c r="K68" i="17"/>
  <c r="K7" i="17" s="1"/>
  <c r="P68" i="17"/>
  <c r="P7" i="17" s="1"/>
  <c r="U84" i="17"/>
  <c r="U8" i="17" s="1"/>
  <c r="D50" i="9"/>
  <c r="D18" i="6" s="1"/>
  <c r="I31" i="17"/>
  <c r="I6" i="17" s="1"/>
  <c r="G126" i="17"/>
  <c r="G14" i="17" s="1"/>
  <c r="Y31" i="17"/>
  <c r="Y6" i="17" s="1"/>
  <c r="Y11" i="17" s="1"/>
  <c r="Z100" i="17"/>
  <c r="R68" i="17"/>
  <c r="R7" i="17" s="1"/>
  <c r="T31" i="17"/>
  <c r="T6" i="17" s="1"/>
  <c r="M50" i="9"/>
  <c r="C74" i="9"/>
  <c r="D68" i="17"/>
  <c r="D7" i="17" s="1"/>
  <c r="R101" i="42"/>
  <c r="X76" i="9"/>
  <c r="G84" i="17"/>
  <c r="G8" i="17" s="1"/>
  <c r="O68" i="17"/>
  <c r="O7" i="17" s="1"/>
  <c r="R31" i="17"/>
  <c r="R6" i="17" s="1"/>
  <c r="S100" i="17"/>
  <c r="F68" i="17"/>
  <c r="F7" i="17" s="1"/>
  <c r="W100" i="17"/>
  <c r="T98" i="42"/>
  <c r="T78" i="42" s="1"/>
  <c r="T80" i="42" s="1"/>
  <c r="Q174" i="42"/>
  <c r="Y100" i="17"/>
  <c r="O84" i="17"/>
  <c r="O8" i="17" s="1"/>
  <c r="P126" i="17"/>
  <c r="P14" i="17" s="1"/>
  <c r="P28" i="42"/>
  <c r="P36" i="6" s="1"/>
  <c r="P53" i="6" s="1"/>
  <c r="M100" i="17"/>
  <c r="T100" i="17"/>
  <c r="Z79" i="9"/>
  <c r="Z22" i="6" s="1"/>
  <c r="L79" i="9"/>
  <c r="L22" i="6" s="1"/>
  <c r="Q126" i="17"/>
  <c r="Q14" i="17" s="1"/>
  <c r="Q31" i="17"/>
  <c r="Q6" i="17" s="1"/>
  <c r="C100" i="17"/>
  <c r="R126" i="17"/>
  <c r="R14" i="17" s="1"/>
  <c r="X68" i="17"/>
  <c r="X7" i="17" s="1"/>
  <c r="X39" i="27" s="1"/>
  <c r="N84" i="17"/>
  <c r="N8" i="17" s="1"/>
  <c r="D31" i="17"/>
  <c r="D6" i="17" s="1"/>
  <c r="H84" i="17"/>
  <c r="H8" i="17" s="1"/>
  <c r="J100" i="17"/>
  <c r="H126" i="17"/>
  <c r="H14" i="17" s="1"/>
  <c r="X84" i="17"/>
  <c r="X8" i="17" s="1"/>
  <c r="S79" i="9"/>
  <c r="S22" i="6" s="1"/>
  <c r="E126" i="17"/>
  <c r="E14" i="17" s="1"/>
  <c r="F31" i="17"/>
  <c r="F6" i="17" s="1"/>
  <c r="F11" i="17" s="1"/>
  <c r="F15" i="17" s="1"/>
  <c r="G68" i="17"/>
  <c r="G7" i="17" s="1"/>
  <c r="I84" i="17"/>
  <c r="I8" i="17" s="1"/>
  <c r="J84" i="17"/>
  <c r="J8" i="17" s="1"/>
  <c r="H77" i="9"/>
  <c r="W84" i="17"/>
  <c r="W8" i="17" s="1"/>
  <c r="S171" i="42"/>
  <c r="S151" i="42" s="1"/>
  <c r="S153" i="42" s="1"/>
  <c r="S162" i="42" s="1"/>
  <c r="X75" i="9"/>
  <c r="Y126" i="17"/>
  <c r="Y14" i="17" s="1"/>
  <c r="L68" i="17"/>
  <c r="L7" i="17" s="1"/>
  <c r="T68" i="17"/>
  <c r="T7" i="17" s="1"/>
  <c r="K50" i="9"/>
  <c r="K18" i="6" s="1"/>
  <c r="D74" i="9"/>
  <c r="U63" i="42"/>
  <c r="U43" i="42" s="1"/>
  <c r="U45" i="42" s="1"/>
  <c r="U71" i="42" s="1"/>
  <c r="I68" i="17"/>
  <c r="I7" i="17" s="1"/>
  <c r="W79" i="9"/>
  <c r="W22" i="6" s="1"/>
  <c r="X100" i="17"/>
  <c r="V100" i="17"/>
  <c r="S126" i="17"/>
  <c r="S14" i="17" s="1"/>
  <c r="G75" i="9"/>
  <c r="H72" i="9"/>
  <c r="C126" i="17"/>
  <c r="C14" i="17" s="1"/>
  <c r="I126" i="17"/>
  <c r="I14" i="17" s="1"/>
  <c r="W31" i="17"/>
  <c r="W6" i="17" s="1"/>
  <c r="W34" i="17" s="1"/>
  <c r="Q100" i="17"/>
  <c r="F50" i="9"/>
  <c r="F18" i="6" s="1"/>
  <c r="K100" i="17"/>
  <c r="F126" i="17"/>
  <c r="F14" i="17" s="1"/>
  <c r="T126" i="17"/>
  <c r="T14" i="17" s="1"/>
  <c r="P79" i="9"/>
  <c r="P22" i="6" s="1"/>
  <c r="N74" i="9"/>
  <c r="N79" i="9" s="1"/>
  <c r="P31" i="17"/>
  <c r="P6" i="17" s="1"/>
  <c r="P100" i="17"/>
  <c r="E84" i="17"/>
  <c r="E8" i="17" s="1"/>
  <c r="F100" i="17"/>
  <c r="M68" i="17"/>
  <c r="M7" i="17" s="1"/>
  <c r="R76" i="9"/>
  <c r="O100" i="17"/>
  <c r="G100" i="17"/>
  <c r="X79" i="9"/>
  <c r="X22" i="6" s="1"/>
  <c r="T10" i="27"/>
  <c r="T71" i="27"/>
  <c r="V73" i="27"/>
  <c r="T83" i="27"/>
  <c r="T84" i="27"/>
  <c r="T76" i="27"/>
  <c r="T72" i="27"/>
  <c r="T78" i="27"/>
  <c r="T82" i="27"/>
  <c r="T77" i="27"/>
  <c r="W79" i="27"/>
  <c r="T36" i="27"/>
  <c r="S83" i="27"/>
  <c r="S72" i="27"/>
  <c r="V79" i="27"/>
  <c r="R10" i="27"/>
  <c r="R71" i="27"/>
  <c r="R82" i="27"/>
  <c r="Q84" i="27"/>
  <c r="P83" i="27"/>
  <c r="P71" i="27"/>
  <c r="P72" i="27"/>
  <c r="P82" i="27"/>
  <c r="P76" i="27"/>
  <c r="P70" i="27"/>
  <c r="P77" i="27"/>
  <c r="P84" i="27"/>
  <c r="O10" i="27"/>
  <c r="P36" i="27"/>
  <c r="O77" i="27"/>
  <c r="O72" i="27"/>
  <c r="O82" i="27"/>
  <c r="O76" i="27"/>
  <c r="O83" i="27"/>
  <c r="O70" i="27"/>
  <c r="O71" i="27"/>
  <c r="O84" i="27"/>
  <c r="M82" i="27"/>
  <c r="M71" i="27"/>
  <c r="M84" i="27"/>
  <c r="M78" i="27"/>
  <c r="K78" i="27"/>
  <c r="K70" i="27"/>
  <c r="K76" i="27"/>
  <c r="L36" i="27"/>
  <c r="J70" i="27"/>
  <c r="I71" i="27"/>
  <c r="I73" i="27" s="1"/>
  <c r="I76" i="27"/>
  <c r="I77" i="27"/>
  <c r="I78" i="27"/>
  <c r="H70" i="27"/>
  <c r="H36" i="27"/>
  <c r="H71" i="27"/>
  <c r="H76" i="27"/>
  <c r="H77" i="27"/>
  <c r="H72" i="27"/>
  <c r="G10" i="27"/>
  <c r="G76" i="27"/>
  <c r="G78" i="27"/>
  <c r="G70" i="27"/>
  <c r="G71" i="27"/>
  <c r="G77" i="27"/>
  <c r="F72" i="27"/>
  <c r="F73" i="27" s="1"/>
  <c r="E70" i="27"/>
  <c r="E72" i="27"/>
  <c r="D10" i="27"/>
  <c r="W85" i="27"/>
  <c r="V85" i="27"/>
  <c r="N83" i="27"/>
  <c r="N36" i="27"/>
  <c r="N71" i="27"/>
  <c r="N72" i="27"/>
  <c r="N10" i="27"/>
  <c r="N76" i="27"/>
  <c r="N70" i="27"/>
  <c r="N82" i="27"/>
  <c r="N77" i="27"/>
  <c r="N84" i="27"/>
  <c r="O36" i="27"/>
  <c r="T18" i="48"/>
  <c r="F23" i="26"/>
  <c r="Q50" i="26"/>
  <c r="R53" i="26"/>
  <c r="T47" i="27"/>
  <c r="W10" i="48"/>
  <c r="X10" i="48" s="1"/>
  <c r="Y10" i="48" s="1"/>
  <c r="Z10" i="48" s="1"/>
  <c r="AA10" i="48" s="1"/>
  <c r="R18" i="48"/>
  <c r="AC36" i="48"/>
  <c r="AC16" i="48"/>
  <c r="AC17" i="48"/>
  <c r="O18" i="48"/>
  <c r="J8" i="49"/>
  <c r="I14" i="49"/>
  <c r="I15" i="49" s="1"/>
  <c r="G15" i="49"/>
  <c r="J13" i="49"/>
  <c r="J6" i="49"/>
  <c r="J7" i="49"/>
  <c r="J12" i="49"/>
  <c r="J10" i="49"/>
  <c r="J14" i="49"/>
  <c r="V14" i="48"/>
  <c r="V16" i="48"/>
  <c r="W6" i="48"/>
  <c r="W7" i="48"/>
  <c r="V17" i="48"/>
  <c r="X11" i="48"/>
  <c r="Y11" i="48" s="1"/>
  <c r="Z11" i="48" s="1"/>
  <c r="AA11" i="48" s="1"/>
  <c r="P18" i="48"/>
  <c r="AC35" i="48"/>
  <c r="U17" i="48"/>
  <c r="U18" i="48" s="1"/>
  <c r="Q51" i="10"/>
  <c r="Q59" i="6" s="1"/>
  <c r="T37" i="10"/>
  <c r="U32" i="10"/>
  <c r="V44" i="10"/>
  <c r="W44" i="10" s="1"/>
  <c r="X44" i="10" s="1"/>
  <c r="Y44" i="10" s="1"/>
  <c r="Z44" i="10" s="1"/>
  <c r="AA44" i="10" s="1"/>
  <c r="AB44" i="10" s="1"/>
  <c r="T57" i="10"/>
  <c r="S60" i="10"/>
  <c r="S47" i="10"/>
  <c r="T46" i="10"/>
  <c r="U46" i="10" s="1"/>
  <c r="V46" i="10" s="1"/>
  <c r="W46" i="10" s="1"/>
  <c r="X46" i="10" s="1"/>
  <c r="Y46" i="10" s="1"/>
  <c r="Z46" i="10" s="1"/>
  <c r="AA46" i="10" s="1"/>
  <c r="AB46" i="10" s="1"/>
  <c r="T8" i="10"/>
  <c r="S14" i="10"/>
  <c r="T47" i="10"/>
  <c r="U45" i="10"/>
  <c r="V45" i="10" s="1"/>
  <c r="W45" i="10" s="1"/>
  <c r="X45" i="10" s="1"/>
  <c r="Y45" i="10" s="1"/>
  <c r="Z45" i="10" s="1"/>
  <c r="AA45" i="10" s="1"/>
  <c r="AB45" i="10" s="1"/>
  <c r="R49" i="10"/>
  <c r="S37" i="10"/>
  <c r="S39" i="10" s="1"/>
  <c r="T33" i="10"/>
  <c r="U33" i="10" s="1"/>
  <c r="V33" i="10" s="1"/>
  <c r="W33" i="10" s="1"/>
  <c r="X33" i="10" s="1"/>
  <c r="Y33" i="10" s="1"/>
  <c r="Z33" i="10" s="1"/>
  <c r="AA33" i="10" s="1"/>
  <c r="AB33" i="10" s="1"/>
  <c r="W43" i="10"/>
  <c r="R60" i="10"/>
  <c r="R62" i="10" s="1"/>
  <c r="Z88" i="41"/>
  <c r="U121" i="9"/>
  <c r="U126" i="9" s="1"/>
  <c r="U28" i="6" s="1"/>
  <c r="U88" i="41"/>
  <c r="U61" i="41"/>
  <c r="S61" i="41"/>
  <c r="S88" i="41"/>
  <c r="S121" i="9"/>
  <c r="S126" i="9" s="1"/>
  <c r="S28" i="6" s="1"/>
  <c r="H61" i="41"/>
  <c r="H88" i="41"/>
  <c r="H121" i="9"/>
  <c r="H126" i="9" s="1"/>
  <c r="H28" i="6" s="1"/>
  <c r="Q48" i="41"/>
  <c r="I48" i="41"/>
  <c r="M61" i="41"/>
  <c r="M121" i="9"/>
  <c r="M126" i="9" s="1"/>
  <c r="M28" i="6" s="1"/>
  <c r="Y88" i="41"/>
  <c r="G61" i="41"/>
  <c r="G121" i="9"/>
  <c r="G126" i="9" s="1"/>
  <c r="G28" i="6" s="1"/>
  <c r="G88" i="41"/>
  <c r="O88" i="41"/>
  <c r="O121" i="9"/>
  <c r="O126" i="9" s="1"/>
  <c r="O28" i="6" s="1"/>
  <c r="X61" i="41"/>
  <c r="P121" i="9"/>
  <c r="P126" i="9" s="1"/>
  <c r="P28" i="6" s="1"/>
  <c r="P61" i="41"/>
  <c r="P88" i="41"/>
  <c r="O61" i="41"/>
  <c r="N61" i="41"/>
  <c r="N88" i="41"/>
  <c r="N121" i="9"/>
  <c r="N126" i="9" s="1"/>
  <c r="N28" i="6" s="1"/>
  <c r="R88" i="41"/>
  <c r="R121" i="9"/>
  <c r="R126" i="9" s="1"/>
  <c r="R28" i="6" s="1"/>
  <c r="R61" i="41"/>
  <c r="T121" i="9"/>
  <c r="T126" i="9" s="1"/>
  <c r="T28" i="6" s="1"/>
  <c r="T61" i="41"/>
  <c r="T88" i="41"/>
  <c r="M28" i="42"/>
  <c r="AD28" i="42" s="1"/>
  <c r="AD25" i="42"/>
  <c r="F121" i="9"/>
  <c r="F126" i="9" s="1"/>
  <c r="F28" i="6" s="1"/>
  <c r="F88" i="41"/>
  <c r="F61" i="41"/>
  <c r="W61" i="41"/>
  <c r="W121" i="9"/>
  <c r="W88" i="41"/>
  <c r="X88" i="41"/>
  <c r="X121" i="9"/>
  <c r="V88" i="41"/>
  <c r="D36" i="6"/>
  <c r="F36" i="6"/>
  <c r="F53" i="6" s="1"/>
  <c r="I174" i="42"/>
  <c r="E61" i="41"/>
  <c r="M74" i="41"/>
  <c r="M84" i="41" s="1"/>
  <c r="J139" i="42"/>
  <c r="Y121" i="9"/>
  <c r="Y126" i="9" s="1"/>
  <c r="Y28" i="6" s="1"/>
  <c r="J121" i="9"/>
  <c r="N36" i="6"/>
  <c r="N53" i="6" s="1"/>
  <c r="H25" i="42"/>
  <c r="H28" i="42" s="1"/>
  <c r="H36" i="6" s="1"/>
  <c r="H53" i="6" s="1"/>
  <c r="J126" i="9"/>
  <c r="J28" i="6" s="1"/>
  <c r="V63" i="42"/>
  <c r="V43" i="42" s="1"/>
  <c r="V45" i="42" s="1"/>
  <c r="V54" i="42" s="1"/>
  <c r="W60" i="42"/>
  <c r="W63" i="42" s="1"/>
  <c r="W66" i="42" s="1"/>
  <c r="O171" i="42"/>
  <c r="I31" i="42"/>
  <c r="D121" i="9"/>
  <c r="D126" i="9" s="1"/>
  <c r="D28" i="6" s="1"/>
  <c r="G174" i="42"/>
  <c r="AD168" i="42"/>
  <c r="W126" i="9"/>
  <c r="W28" i="6" s="1"/>
  <c r="V121" i="9"/>
  <c r="V126" i="9" s="1"/>
  <c r="V28" i="6" s="1"/>
  <c r="Q31" i="42"/>
  <c r="J88" i="41"/>
  <c r="E121" i="9"/>
  <c r="E126" i="9" s="1"/>
  <c r="E28" i="6" s="1"/>
  <c r="Q60" i="42"/>
  <c r="Q63" i="42" s="1"/>
  <c r="Q66" i="42" s="1"/>
  <c r="H139" i="42"/>
  <c r="Y74" i="41"/>
  <c r="Y84" i="41" s="1"/>
  <c r="N136" i="42"/>
  <c r="Z34" i="17"/>
  <c r="Z11" i="17"/>
  <c r="Z15" i="17" s="1"/>
  <c r="H13" i="27"/>
  <c r="H8" i="1" s="1"/>
  <c r="H11" i="17"/>
  <c r="H15" i="17" s="1"/>
  <c r="J13" i="27"/>
  <c r="J8" i="1" s="1"/>
  <c r="P11" i="17"/>
  <c r="P15" i="17" s="1"/>
  <c r="T79" i="9"/>
  <c r="T22" i="6" s="1"/>
  <c r="X34" i="17"/>
  <c r="AD71" i="9"/>
  <c r="M79" i="9"/>
  <c r="M22" i="6" s="1"/>
  <c r="AD72" i="9"/>
  <c r="V79" i="9"/>
  <c r="V22" i="6" s="1"/>
  <c r="Y8" i="1"/>
  <c r="V34" i="17"/>
  <c r="N68" i="17"/>
  <c r="N7" i="17" s="1"/>
  <c r="S68" i="17"/>
  <c r="S7" i="17" s="1"/>
  <c r="R79" i="9"/>
  <c r="R22" i="6" s="1"/>
  <c r="U126" i="17"/>
  <c r="U14" i="17" s="1"/>
  <c r="AD74" i="9"/>
  <c r="S42" i="9"/>
  <c r="E50" i="9"/>
  <c r="E18" i="6" s="1"/>
  <c r="H74" i="9"/>
  <c r="J72" i="9"/>
  <c r="J79" i="9" s="1"/>
  <c r="J22" i="6" s="1"/>
  <c r="K126" i="17"/>
  <c r="K14" i="17" s="1"/>
  <c r="K31" i="17"/>
  <c r="K6" i="17" s="1"/>
  <c r="D100" i="17"/>
  <c r="J126" i="17"/>
  <c r="J14" i="17" s="1"/>
  <c r="C79" i="9"/>
  <c r="C22" i="6" s="1"/>
  <c r="M31" i="17"/>
  <c r="M6" i="17" s="1"/>
  <c r="S31" i="17"/>
  <c r="S6" i="17" s="1"/>
  <c r="O76" i="9"/>
  <c r="O79" i="9" s="1"/>
  <c r="V68" i="17"/>
  <c r="V7" i="17" s="1"/>
  <c r="V39" i="27" s="1"/>
  <c r="V126" i="17"/>
  <c r="V14" i="17" s="1"/>
  <c r="O9" i="17"/>
  <c r="Q50" i="9"/>
  <c r="Q18" i="6" s="1"/>
  <c r="F75" i="9"/>
  <c r="E68" i="17"/>
  <c r="E7" i="17" s="1"/>
  <c r="I76" i="9"/>
  <c r="I79" i="9" s="1"/>
  <c r="Y76" i="9"/>
  <c r="Z63" i="42"/>
  <c r="Z66" i="42" s="1"/>
  <c r="Q139" i="42"/>
  <c r="U68" i="17"/>
  <c r="U7" i="17" s="1"/>
  <c r="U39" i="27" s="1"/>
  <c r="G72" i="9"/>
  <c r="G79" i="9" s="1"/>
  <c r="G22" i="6" s="1"/>
  <c r="J31" i="17"/>
  <c r="J6" i="17" s="1"/>
  <c r="J11" i="17" s="1"/>
  <c r="O136" i="42"/>
  <c r="Y74" i="9"/>
  <c r="Q68" i="17"/>
  <c r="Q7" i="17" s="1"/>
  <c r="N126" i="17"/>
  <c r="N14" i="17" s="1"/>
  <c r="N50" i="9"/>
  <c r="N18" i="6" s="1"/>
  <c r="F79" i="9"/>
  <c r="F22" i="6" s="1"/>
  <c r="R36" i="6"/>
  <c r="R53" i="6" s="1"/>
  <c r="U31" i="17"/>
  <c r="U6" i="17" s="1"/>
  <c r="D79" i="9"/>
  <c r="D22" i="6" s="1"/>
  <c r="C68" i="17"/>
  <c r="C7" i="17" s="1"/>
  <c r="W126" i="17"/>
  <c r="W14" i="17" s="1"/>
  <c r="R174" i="42"/>
  <c r="P98" i="42"/>
  <c r="AD132" i="42"/>
  <c r="AD36" i="9"/>
  <c r="I50" i="9"/>
  <c r="I18" i="6" s="1"/>
  <c r="R50" i="9"/>
  <c r="R18" i="6" s="1"/>
  <c r="K73" i="9"/>
  <c r="K79" i="9" s="1"/>
  <c r="K22" i="6" s="1"/>
  <c r="N21" i="43"/>
  <c r="AD20" i="43"/>
  <c r="C42" i="6"/>
  <c r="C54" i="6" s="1"/>
  <c r="C36" i="43"/>
  <c r="C38" i="43" s="1"/>
  <c r="O42" i="6"/>
  <c r="O54" i="6" s="1"/>
  <c r="F42" i="6"/>
  <c r="F54" i="6" s="1"/>
  <c r="F36" i="43"/>
  <c r="F38" i="43" s="1"/>
  <c r="U9" i="43"/>
  <c r="T55" i="1"/>
  <c r="R36" i="43"/>
  <c r="R38" i="43" s="1"/>
  <c r="R42" i="6"/>
  <c r="M42" i="6"/>
  <c r="M54" i="6" s="1"/>
  <c r="E13" i="43"/>
  <c r="Z56" i="1"/>
  <c r="O36" i="43"/>
  <c r="O38" i="43" s="1"/>
  <c r="Q13" i="43"/>
  <c r="M36" i="43"/>
  <c r="M38" i="43" s="1"/>
  <c r="H20" i="43"/>
  <c r="H21" i="43" s="1"/>
  <c r="L32" i="43"/>
  <c r="P56" i="1"/>
  <c r="P41" i="6" s="1"/>
  <c r="S10" i="43"/>
  <c r="S13" i="43" s="1"/>
  <c r="AD10" i="43"/>
  <c r="C56" i="1"/>
  <c r="C41" i="6" s="1"/>
  <c r="D21" i="43"/>
  <c r="H32" i="43"/>
  <c r="H35" i="43" s="1"/>
  <c r="F56" i="1"/>
  <c r="F41" i="6" s="1"/>
  <c r="F49" i="6" s="1"/>
  <c r="N56" i="1"/>
  <c r="N41" i="6" s="1"/>
  <c r="N44" i="6" s="1"/>
  <c r="I56" i="1"/>
  <c r="I41" i="6" s="1"/>
  <c r="I49" i="6" s="1"/>
  <c r="D56" i="1"/>
  <c r="D41" i="6" s="1"/>
  <c r="E44" i="6" s="1"/>
  <c r="AD29" i="43"/>
  <c r="T7" i="43"/>
  <c r="S32" i="43"/>
  <c r="P21" i="43"/>
  <c r="Q33" i="43"/>
  <c r="Q35" i="43" s="1"/>
  <c r="S33" i="43"/>
  <c r="P32" i="43"/>
  <c r="P35" i="43" s="1"/>
  <c r="P42" i="6" s="1"/>
  <c r="P54" i="6" s="1"/>
  <c r="T8" i="43"/>
  <c r="K36" i="43"/>
  <c r="K38" i="43" s="1"/>
  <c r="D32" i="43"/>
  <c r="Q21" i="43"/>
  <c r="D33" i="43"/>
  <c r="P33" i="43"/>
  <c r="H13" i="43"/>
  <c r="L33" i="43"/>
  <c r="AD33" i="43" s="1"/>
  <c r="Z18" i="42"/>
  <c r="Z179" i="42"/>
  <c r="Z109" i="42"/>
  <c r="S54" i="42"/>
  <c r="S38" i="1"/>
  <c r="S49" i="42"/>
  <c r="S66" i="42" s="1"/>
  <c r="T41" i="1"/>
  <c r="T109" i="42"/>
  <c r="T84" i="42"/>
  <c r="T101" i="42" s="1"/>
  <c r="T89" i="42"/>
  <c r="U38" i="1"/>
  <c r="U54" i="42"/>
  <c r="U49" i="42"/>
  <c r="U66" i="42" s="1"/>
  <c r="U23" i="42"/>
  <c r="T28" i="42"/>
  <c r="S44" i="1"/>
  <c r="S127" i="42"/>
  <c r="S122" i="42"/>
  <c r="S139" i="42" s="1"/>
  <c r="S144" i="42"/>
  <c r="V29" i="42"/>
  <c r="U128" i="9"/>
  <c r="U29" i="6" s="1"/>
  <c r="M101" i="42"/>
  <c r="R54" i="42"/>
  <c r="U166" i="42"/>
  <c r="T171" i="42"/>
  <c r="T151" i="42" s="1"/>
  <c r="T153" i="42" s="1"/>
  <c r="S28" i="42"/>
  <c r="L35" i="1"/>
  <c r="N36" i="42"/>
  <c r="C31" i="42"/>
  <c r="T63" i="42"/>
  <c r="T43" i="42" s="1"/>
  <c r="T45" i="42" s="1"/>
  <c r="O109" i="42"/>
  <c r="O41" i="1"/>
  <c r="O84" i="42"/>
  <c r="O101" i="42" s="1"/>
  <c r="X71" i="42"/>
  <c r="X49" i="42"/>
  <c r="X38" i="1"/>
  <c r="R71" i="42"/>
  <c r="N71" i="42"/>
  <c r="N38" i="1"/>
  <c r="N49" i="42"/>
  <c r="L19" i="42"/>
  <c r="J35" i="6"/>
  <c r="J31" i="42"/>
  <c r="D101" i="42"/>
  <c r="U130" i="42"/>
  <c r="T136" i="42"/>
  <c r="T116" i="42" s="1"/>
  <c r="T118" i="42" s="1"/>
  <c r="S89" i="42"/>
  <c r="S84" i="42"/>
  <c r="S101" i="42" s="1"/>
  <c r="S41" i="1"/>
  <c r="S109" i="42"/>
  <c r="M136" i="42"/>
  <c r="AD133" i="42"/>
  <c r="P171" i="42"/>
  <c r="P174" i="42" s="1"/>
  <c r="AD167" i="42"/>
  <c r="R50" i="1"/>
  <c r="R35" i="6" s="1"/>
  <c r="R48" i="6" s="1"/>
  <c r="L36" i="42"/>
  <c r="Y63" i="42"/>
  <c r="Q36" i="42"/>
  <c r="AD127" i="9"/>
  <c r="O31" i="42"/>
  <c r="L14" i="42"/>
  <c r="N54" i="42"/>
  <c r="J36" i="6"/>
  <c r="J53" i="6" s="1"/>
  <c r="P71" i="42"/>
  <c r="P49" i="42"/>
  <c r="P66" i="42" s="1"/>
  <c r="Y165" i="42"/>
  <c r="Z165" i="42" s="1"/>
  <c r="R139" i="42"/>
  <c r="K84" i="42"/>
  <c r="K101" i="42" s="1"/>
  <c r="K41" i="1"/>
  <c r="K50" i="1" s="1"/>
  <c r="K89" i="42"/>
  <c r="K109" i="42"/>
  <c r="AD95" i="42"/>
  <c r="N98" i="42"/>
  <c r="N101" i="42" s="1"/>
  <c r="H174" i="42"/>
  <c r="X47" i="1"/>
  <c r="X157" i="42"/>
  <c r="X179" i="42"/>
  <c r="M14" i="42"/>
  <c r="H35" i="6"/>
  <c r="X63" i="42"/>
  <c r="F31" i="42"/>
  <c r="W92" i="42"/>
  <c r="V98" i="42"/>
  <c r="V78" i="42" s="1"/>
  <c r="V80" i="42" s="1"/>
  <c r="K38" i="6"/>
  <c r="F49" i="42"/>
  <c r="F66" i="42" s="1"/>
  <c r="F71" i="42"/>
  <c r="F54" i="42"/>
  <c r="T128" i="9"/>
  <c r="T29" i="6" s="1"/>
  <c r="N31" i="42"/>
  <c r="R49" i="42"/>
  <c r="R66" i="42" s="1"/>
  <c r="H66" i="42"/>
  <c r="F38" i="1"/>
  <c r="O63" i="42"/>
  <c r="AD59" i="42"/>
  <c r="AD88" i="42"/>
  <c r="P139" i="42"/>
  <c r="AD45" i="42"/>
  <c r="G50" i="1"/>
  <c r="S179" i="42"/>
  <c r="S157" i="42"/>
  <c r="S174" i="42" s="1"/>
  <c r="AD161" i="42"/>
  <c r="M162" i="42"/>
  <c r="W54" i="42"/>
  <c r="E19" i="42"/>
  <c r="M63" i="42"/>
  <c r="N89" i="42"/>
  <c r="K144" i="42"/>
  <c r="C44" i="1"/>
  <c r="O127" i="42"/>
  <c r="L109" i="42"/>
  <c r="P84" i="42"/>
  <c r="G36" i="42"/>
  <c r="Q98" i="42"/>
  <c r="Q101" i="42" s="1"/>
  <c r="L89" i="42"/>
  <c r="F41" i="1"/>
  <c r="Z50" i="1"/>
  <c r="E54" i="42"/>
  <c r="K36" i="42"/>
  <c r="M38" i="1"/>
  <c r="M50" i="1" s="1"/>
  <c r="K122" i="42"/>
  <c r="K139" i="42" s="1"/>
  <c r="E41" i="1"/>
  <c r="E50" i="1" s="1"/>
  <c r="Q50" i="1"/>
  <c r="Q35" i="6" s="1"/>
  <c r="Y49" i="42"/>
  <c r="G14" i="42"/>
  <c r="K19" i="42"/>
  <c r="L84" i="42"/>
  <c r="M171" i="42"/>
  <c r="O122" i="42"/>
  <c r="U98" i="42"/>
  <c r="U78" i="42" s="1"/>
  <c r="U80" i="42" s="1"/>
  <c r="F84" i="42"/>
  <c r="F101" i="42" s="1"/>
  <c r="N50" i="1"/>
  <c r="O44" i="1"/>
  <c r="O50" i="1" s="1"/>
  <c r="Z126" i="9"/>
  <c r="Z28" i="6" s="1"/>
  <c r="U47" i="9"/>
  <c r="V10" i="9"/>
  <c r="V16" i="6" s="1"/>
  <c r="T57" i="9"/>
  <c r="T19" i="6" s="1"/>
  <c r="V98" i="9"/>
  <c r="W98" i="9" s="1"/>
  <c r="X98" i="9" s="1"/>
  <c r="Y98" i="9" s="1"/>
  <c r="Z98" i="9" s="1"/>
  <c r="U106" i="9"/>
  <c r="U25" i="6" s="1"/>
  <c r="U10" i="9"/>
  <c r="U21" i="9"/>
  <c r="AD75" i="9"/>
  <c r="G50" i="9"/>
  <c r="G18" i="6" s="1"/>
  <c r="U42" i="9"/>
  <c r="U69" i="9"/>
  <c r="U21" i="6" s="1"/>
  <c r="Q79" i="9"/>
  <c r="Q22" i="6" s="1"/>
  <c r="U79" i="9"/>
  <c r="U22" i="6" s="1"/>
  <c r="Y85" i="9"/>
  <c r="Z85" i="9" s="1"/>
  <c r="AA85" i="9" s="1"/>
  <c r="AB85" i="9" s="1"/>
  <c r="AC85" i="9" s="1"/>
  <c r="S86" i="9"/>
  <c r="S23" i="6" s="1"/>
  <c r="V42" i="9"/>
  <c r="AD122" i="9"/>
  <c r="T106" i="9"/>
  <c r="T25" i="6" s="1"/>
  <c r="U35" i="9"/>
  <c r="T37" i="9"/>
  <c r="P42" i="9"/>
  <c r="AD41" i="9" s="1"/>
  <c r="AD40" i="9"/>
  <c r="T10" i="9"/>
  <c r="T16" i="6" s="1"/>
  <c r="T92" i="9"/>
  <c r="T24" i="6" s="1"/>
  <c r="T47" i="9"/>
  <c r="M26" i="9"/>
  <c r="AD76" i="9"/>
  <c r="C50" i="9"/>
  <c r="C18" i="6" s="1"/>
  <c r="E79" i="9"/>
  <c r="E22" i="6" s="1"/>
  <c r="P23" i="6"/>
  <c r="T16" i="9"/>
  <c r="AD35" i="9"/>
  <c r="L47" i="9"/>
  <c r="AD46" i="9" s="1"/>
  <c r="AD45" i="9"/>
  <c r="M18" i="6"/>
  <c r="P26" i="9"/>
  <c r="P17" i="6" s="1"/>
  <c r="S25" i="9"/>
  <c r="J50" i="9"/>
  <c r="J18" i="6" s="1"/>
  <c r="V106" i="9"/>
  <c r="V25" i="6" s="1"/>
  <c r="O116" i="9"/>
  <c r="O27" i="6" s="1"/>
  <c r="S16" i="9"/>
  <c r="S26" i="9" s="1"/>
  <c r="S17" i="6" s="1"/>
  <c r="S47" i="9"/>
  <c r="X126" i="9"/>
  <c r="X28" i="6" s="1"/>
  <c r="T42" i="9"/>
  <c r="V67" i="8"/>
  <c r="U66" i="6"/>
  <c r="U66" i="8"/>
  <c r="T64" i="6"/>
  <c r="V31" i="1"/>
  <c r="V11" i="6" s="1"/>
  <c r="T70" i="6"/>
  <c r="U71" i="8"/>
  <c r="T69" i="6"/>
  <c r="U70" i="8"/>
  <c r="U73" i="8"/>
  <c r="T72" i="6"/>
  <c r="T68" i="6"/>
  <c r="U69" i="8"/>
  <c r="T67" i="6"/>
  <c r="U68" i="8"/>
  <c r="E31" i="1"/>
  <c r="E11" i="6" s="1"/>
  <c r="V45" i="8"/>
  <c r="Y29" i="1"/>
  <c r="Y31" i="1" s="1"/>
  <c r="Y11" i="6" s="1"/>
  <c r="O31" i="1"/>
  <c r="O11" i="6" s="1"/>
  <c r="T66" i="6"/>
  <c r="S64" i="6"/>
  <c r="U45" i="8"/>
  <c r="K45" i="8"/>
  <c r="L45" i="8"/>
  <c r="T45" i="8"/>
  <c r="Z35" i="53"/>
  <c r="S35" i="53"/>
  <c r="T17" i="53"/>
  <c r="U7" i="53"/>
  <c r="T35" i="53"/>
  <c r="E26" i="1"/>
  <c r="E10" i="6" s="1"/>
  <c r="C35" i="53"/>
  <c r="L18" i="53"/>
  <c r="N25" i="1"/>
  <c r="N26" i="1" s="1"/>
  <c r="N10" i="6" s="1"/>
  <c r="K18" i="53"/>
  <c r="F25" i="1"/>
  <c r="F26" i="1" s="1"/>
  <c r="F10" i="6" s="1"/>
  <c r="N34" i="53"/>
  <c r="N35" i="53" s="1"/>
  <c r="K26" i="1"/>
  <c r="K10" i="6" s="1"/>
  <c r="H18" i="53"/>
  <c r="L26" i="1"/>
  <c r="L10" i="6" s="1"/>
  <c r="R25" i="1"/>
  <c r="R26" i="1" s="1"/>
  <c r="R10" i="6" s="1"/>
  <c r="Q26" i="1"/>
  <c r="Q10" i="6" s="1"/>
  <c r="G26" i="1"/>
  <c r="G10" i="6" s="1"/>
  <c r="J26" i="1"/>
  <c r="J10" i="6" s="1"/>
  <c r="S17" i="53"/>
  <c r="K71" i="2"/>
  <c r="T35" i="2"/>
  <c r="AE35" i="2"/>
  <c r="L36" i="2"/>
  <c r="G70" i="2"/>
  <c r="G71" i="2" s="1"/>
  <c r="AE68" i="2"/>
  <c r="Q36" i="2"/>
  <c r="I26" i="1"/>
  <c r="I10" i="6" s="1"/>
  <c r="C26" i="1"/>
  <c r="C10" i="6" s="1"/>
  <c r="S35" i="2"/>
  <c r="D36" i="2"/>
  <c r="L26" i="6"/>
  <c r="V32" i="26"/>
  <c r="U18" i="1"/>
  <c r="U113" i="9" s="1"/>
  <c r="U17" i="1"/>
  <c r="U22" i="26"/>
  <c r="U16" i="1"/>
  <c r="S55" i="26"/>
  <c r="AC22" i="26"/>
  <c r="O54" i="26"/>
  <c r="Q109" i="9"/>
  <c r="Q26" i="6" s="1"/>
  <c r="P19" i="1"/>
  <c r="P8" i="6" s="1"/>
  <c r="L55" i="26"/>
  <c r="E23" i="26"/>
  <c r="P50" i="26"/>
  <c r="M22" i="48"/>
  <c r="M28" i="48" s="1"/>
  <c r="T22" i="26"/>
  <c r="E55" i="26"/>
  <c r="T16" i="1"/>
  <c r="O50" i="26"/>
  <c r="T17" i="1"/>
  <c r="L53" i="26"/>
  <c r="S50" i="26"/>
  <c r="AC49" i="26"/>
  <c r="O109" i="9"/>
  <c r="O26" i="6" s="1"/>
  <c r="M23" i="26"/>
  <c r="R23" i="26"/>
  <c r="G19" i="1"/>
  <c r="G8" i="6" s="1"/>
  <c r="F19" i="1"/>
  <c r="F8" i="6" s="1"/>
  <c r="R19" i="1"/>
  <c r="R8" i="6" s="1"/>
  <c r="I19" i="1"/>
  <c r="I8" i="6" s="1"/>
  <c r="S23" i="26"/>
  <c r="L50" i="26"/>
  <c r="Q19" i="1"/>
  <c r="Q8" i="6" s="1"/>
  <c r="E54" i="26"/>
  <c r="L54" i="26"/>
  <c r="E116" i="9"/>
  <c r="E27" i="6" s="1"/>
  <c r="E50" i="26"/>
  <c r="M50" i="26"/>
  <c r="U47" i="27"/>
  <c r="U114" i="9"/>
  <c r="C12" i="27"/>
  <c r="C28" i="27" s="1"/>
  <c r="C29" i="27" s="1"/>
  <c r="AD113" i="9"/>
  <c r="S77" i="27"/>
  <c r="Q77" i="27"/>
  <c r="Q72" i="27"/>
  <c r="J10" i="27"/>
  <c r="L10" i="27"/>
  <c r="L82" i="27"/>
  <c r="L85" i="27" s="1"/>
  <c r="J76" i="27"/>
  <c r="C114" i="9"/>
  <c r="C116" i="9" s="1"/>
  <c r="H116" i="9"/>
  <c r="H27" i="6" s="1"/>
  <c r="X71" i="27"/>
  <c r="R36" i="27"/>
  <c r="Q36" i="27"/>
  <c r="M116" i="9"/>
  <c r="G116" i="9"/>
  <c r="G27" i="6" s="1"/>
  <c r="U77" i="27"/>
  <c r="S36" i="27"/>
  <c r="S78" i="27"/>
  <c r="R70" i="27"/>
  <c r="Q10" i="27"/>
  <c r="Q78" i="27"/>
  <c r="K36" i="27"/>
  <c r="L77" i="27"/>
  <c r="X36" i="27"/>
  <c r="X72" i="27"/>
  <c r="U82" i="27"/>
  <c r="S10" i="27"/>
  <c r="S70" i="27"/>
  <c r="AD35" i="27"/>
  <c r="R84" i="27"/>
  <c r="Q70" i="27"/>
  <c r="K10" i="27"/>
  <c r="M76" i="27"/>
  <c r="L78" i="27"/>
  <c r="L71" i="27"/>
  <c r="J71" i="27"/>
  <c r="E71" i="27"/>
  <c r="K47" i="27"/>
  <c r="R116" i="9"/>
  <c r="L116" i="9"/>
  <c r="X83" i="27"/>
  <c r="Y36" i="27"/>
  <c r="U78" i="27"/>
  <c r="S82" i="27"/>
  <c r="R78" i="27"/>
  <c r="R76" i="27"/>
  <c r="Q83" i="27"/>
  <c r="F36" i="27"/>
  <c r="M36" i="27"/>
  <c r="M70" i="27"/>
  <c r="M73" i="27" s="1"/>
  <c r="L76" i="27"/>
  <c r="L72" i="27"/>
  <c r="J72" i="27"/>
  <c r="K77" i="27"/>
  <c r="K79" i="27" s="1"/>
  <c r="M47" i="27"/>
  <c r="Q116" i="9"/>
  <c r="Q27" i="6" s="1"/>
  <c r="K116" i="9"/>
  <c r="K27" i="6" s="1"/>
  <c r="X77" i="27"/>
  <c r="X82" i="27"/>
  <c r="U83" i="27"/>
  <c r="U70" i="27"/>
  <c r="U73" i="27" s="1"/>
  <c r="S84" i="27"/>
  <c r="R77" i="27"/>
  <c r="R72" i="27"/>
  <c r="Q76" i="27"/>
  <c r="E36" i="27"/>
  <c r="M83" i="27"/>
  <c r="L70" i="27"/>
  <c r="J77" i="27"/>
  <c r="K72" i="27"/>
  <c r="D116" i="9"/>
  <c r="D27" i="6" s="1"/>
  <c r="X78" i="27"/>
  <c r="X76" i="27"/>
  <c r="S71" i="27"/>
  <c r="Q82" i="27"/>
  <c r="J36" i="27"/>
  <c r="T116" i="9"/>
  <c r="T27" i="6" s="1"/>
  <c r="P116" i="9"/>
  <c r="I116" i="9"/>
  <c r="I27" i="6" s="1"/>
  <c r="J113" i="9"/>
  <c r="J116" i="9" s="1"/>
  <c r="J19" i="1"/>
  <c r="J8" i="6" s="1"/>
  <c r="M49" i="6"/>
  <c r="M44" i="6"/>
  <c r="G49" i="6"/>
  <c r="N113" i="9"/>
  <c r="N116" i="9" s="1"/>
  <c r="N19" i="1"/>
  <c r="N8" i="6" s="1"/>
  <c r="J49" i="6"/>
  <c r="S27" i="6"/>
  <c r="Q49" i="6"/>
  <c r="C19" i="1"/>
  <c r="C8" i="6" s="1"/>
  <c r="E49" i="6"/>
  <c r="H56" i="1"/>
  <c r="H41" i="6" s="1"/>
  <c r="K56" i="1"/>
  <c r="K41" i="6" s="1"/>
  <c r="K43" i="6" s="1"/>
  <c r="H50" i="1"/>
  <c r="L50" i="1"/>
  <c r="D50" i="1"/>
  <c r="K37" i="6"/>
  <c r="I37" i="6"/>
  <c r="R44" i="6"/>
  <c r="O43" i="6"/>
  <c r="P43" i="6" l="1"/>
  <c r="AD62" i="9"/>
  <c r="AB22" i="2"/>
  <c r="X11" i="17"/>
  <c r="X15" i="17" s="1"/>
  <c r="AB16" i="1"/>
  <c r="X86" i="9"/>
  <c r="V69" i="9"/>
  <c r="V21" i="6" s="1"/>
  <c r="AD68" i="9"/>
  <c r="T63" i="9"/>
  <c r="T20" i="6" s="1"/>
  <c r="S49" i="6"/>
  <c r="S44" i="6"/>
  <c r="N42" i="6"/>
  <c r="N54" i="6" s="1"/>
  <c r="L44" i="6"/>
  <c r="P44" i="6"/>
  <c r="P49" i="6"/>
  <c r="Q44" i="6"/>
  <c r="I36" i="43"/>
  <c r="I38" i="43" s="1"/>
  <c r="I42" i="6"/>
  <c r="I54" i="6" s="1"/>
  <c r="J42" i="6"/>
  <c r="J36" i="43"/>
  <c r="J38" i="43" s="1"/>
  <c r="E36" i="43"/>
  <c r="E38" i="43" s="1"/>
  <c r="AD32" i="43"/>
  <c r="D44" i="6"/>
  <c r="J44" i="6"/>
  <c r="N49" i="6"/>
  <c r="G35" i="43"/>
  <c r="N43" i="6"/>
  <c r="O44" i="6"/>
  <c r="S35" i="43"/>
  <c r="S28" i="43" s="1"/>
  <c r="S29" i="43" s="1"/>
  <c r="D49" i="6"/>
  <c r="T21" i="9"/>
  <c r="X42" i="27"/>
  <c r="X8" i="1" s="1"/>
  <c r="V8" i="1"/>
  <c r="V42" i="27"/>
  <c r="K73" i="27"/>
  <c r="G79" i="27"/>
  <c r="I79" i="27"/>
  <c r="M79" i="27"/>
  <c r="U42" i="27"/>
  <c r="U13" i="27" s="1"/>
  <c r="U8" i="1" s="1"/>
  <c r="P73" i="27"/>
  <c r="I56" i="26"/>
  <c r="D56" i="26"/>
  <c r="S56" i="26"/>
  <c r="F44" i="6"/>
  <c r="G44" i="6"/>
  <c r="C43" i="6"/>
  <c r="C44" i="6"/>
  <c r="C49" i="6"/>
  <c r="F43" i="6"/>
  <c r="C50" i="1"/>
  <c r="E48" i="6"/>
  <c r="E38" i="6"/>
  <c r="R37" i="6"/>
  <c r="M36" i="6"/>
  <c r="M53" i="6" s="1"/>
  <c r="L139" i="42"/>
  <c r="H31" i="42"/>
  <c r="C66" i="42"/>
  <c r="C35" i="6"/>
  <c r="E31" i="42"/>
  <c r="F35" i="6"/>
  <c r="N139" i="42"/>
  <c r="E37" i="6"/>
  <c r="S47" i="1"/>
  <c r="P31" i="42"/>
  <c r="O174" i="42"/>
  <c r="AD60" i="42"/>
  <c r="S50" i="9"/>
  <c r="S130" i="9" s="1"/>
  <c r="U16" i="6"/>
  <c r="S49" i="10"/>
  <c r="S62" i="10"/>
  <c r="R51" i="10"/>
  <c r="R59" i="6" s="1"/>
  <c r="T70" i="2"/>
  <c r="T71" i="2" s="1"/>
  <c r="S70" i="2"/>
  <c r="S71" i="2" s="1"/>
  <c r="AE70" i="2"/>
  <c r="R56" i="26"/>
  <c r="H56" i="26"/>
  <c r="P56" i="26"/>
  <c r="J56" i="26"/>
  <c r="AD112" i="9"/>
  <c r="K56" i="26"/>
  <c r="M56" i="26"/>
  <c r="Q56" i="26"/>
  <c r="X73" i="27"/>
  <c r="T85" i="27"/>
  <c r="T73" i="27"/>
  <c r="R85" i="27"/>
  <c r="O79" i="27"/>
  <c r="H73" i="27"/>
  <c r="E73" i="27"/>
  <c r="T13" i="27"/>
  <c r="T8" i="1" s="1"/>
  <c r="T39" i="27"/>
  <c r="Q39" i="27"/>
  <c r="Q13" i="27" s="1"/>
  <c r="Q8" i="1" s="1"/>
  <c r="L13" i="27"/>
  <c r="L8" i="1" s="1"/>
  <c r="L39" i="27"/>
  <c r="G39" i="27"/>
  <c r="G13" i="27" s="1"/>
  <c r="G8" i="1" s="1"/>
  <c r="D11" i="17"/>
  <c r="D15" i="17" s="1"/>
  <c r="R39" i="27"/>
  <c r="R13" i="27" s="1"/>
  <c r="R8" i="1" s="1"/>
  <c r="D30" i="6"/>
  <c r="D52" i="6" s="1"/>
  <c r="C42" i="27"/>
  <c r="C8" i="1" s="1"/>
  <c r="C39" i="27"/>
  <c r="K11" i="17"/>
  <c r="K15" i="17" s="1"/>
  <c r="S39" i="27"/>
  <c r="S13" i="27" s="1"/>
  <c r="S8" i="1" s="1"/>
  <c r="D39" i="27"/>
  <c r="D13" i="27" s="1"/>
  <c r="D8" i="1" s="1"/>
  <c r="E39" i="27"/>
  <c r="E13" i="27" s="1"/>
  <c r="E8" i="1" s="1"/>
  <c r="N39" i="27"/>
  <c r="N13" i="27" s="1"/>
  <c r="N8" i="1" s="1"/>
  <c r="I39" i="27"/>
  <c r="I13" i="27" s="1"/>
  <c r="I8" i="1" s="1"/>
  <c r="F39" i="27"/>
  <c r="F13" i="27" s="1"/>
  <c r="F8" i="1" s="1"/>
  <c r="O39" i="27"/>
  <c r="O13" i="27" s="1"/>
  <c r="O8" i="1" s="1"/>
  <c r="M11" i="17"/>
  <c r="M15" i="17" s="1"/>
  <c r="M39" i="27"/>
  <c r="M13" i="27" s="1"/>
  <c r="P13" i="27"/>
  <c r="P8" i="1" s="1"/>
  <c r="P39" i="27"/>
  <c r="K39" i="27"/>
  <c r="K13" i="27" s="1"/>
  <c r="K8" i="1" s="1"/>
  <c r="M85" i="27"/>
  <c r="T79" i="27"/>
  <c r="O85" i="27"/>
  <c r="T11" i="17"/>
  <c r="T15" i="17" s="1"/>
  <c r="L11" i="17"/>
  <c r="L15" i="17" s="1"/>
  <c r="E30" i="6"/>
  <c r="E52" i="6" s="1"/>
  <c r="E55" i="6" s="1"/>
  <c r="C11" i="17"/>
  <c r="C15" i="17" s="1"/>
  <c r="V71" i="42"/>
  <c r="W11" i="17"/>
  <c r="W15" i="17" s="1"/>
  <c r="O139" i="42"/>
  <c r="V38" i="1"/>
  <c r="J15" i="17"/>
  <c r="H79" i="9"/>
  <c r="H22" i="6" s="1"/>
  <c r="H30" i="6" s="1"/>
  <c r="H52" i="6" s="1"/>
  <c r="R11" i="17"/>
  <c r="R15" i="17" s="1"/>
  <c r="Y34" i="17"/>
  <c r="O11" i="17"/>
  <c r="O15" i="17" s="1"/>
  <c r="AD73" i="9"/>
  <c r="Q36" i="6"/>
  <c r="Q53" i="6" s="1"/>
  <c r="I11" i="17"/>
  <c r="I15" i="17" s="1"/>
  <c r="Y79" i="9"/>
  <c r="Y22" i="6" s="1"/>
  <c r="Y15" i="17"/>
  <c r="G11" i="17"/>
  <c r="G15" i="17" s="1"/>
  <c r="X79" i="27"/>
  <c r="U79" i="27"/>
  <c r="Q73" i="27"/>
  <c r="P79" i="27"/>
  <c r="P85" i="27"/>
  <c r="S79" i="27"/>
  <c r="O73" i="27"/>
  <c r="X85" i="27"/>
  <c r="L73" i="27"/>
  <c r="N79" i="27"/>
  <c r="H79" i="27"/>
  <c r="J73" i="27"/>
  <c r="L79" i="27"/>
  <c r="G73" i="27"/>
  <c r="N73" i="27"/>
  <c r="N85" i="27"/>
  <c r="Q79" i="27"/>
  <c r="W14" i="48"/>
  <c r="AC53" i="26"/>
  <c r="AC54" i="26"/>
  <c r="U116" i="9"/>
  <c r="U27" i="6" s="1"/>
  <c r="AC18" i="48"/>
  <c r="AA14" i="48"/>
  <c r="X7" i="48"/>
  <c r="W17" i="48"/>
  <c r="X14" i="48"/>
  <c r="W16" i="48"/>
  <c r="X6" i="48"/>
  <c r="V18" i="48"/>
  <c r="Z14" i="48"/>
  <c r="Y14" i="48"/>
  <c r="V47" i="10"/>
  <c r="U47" i="10"/>
  <c r="T49" i="10"/>
  <c r="W47" i="10"/>
  <c r="X43" i="10"/>
  <c r="S16" i="10"/>
  <c r="S51" i="10" s="1"/>
  <c r="S59" i="6" s="1"/>
  <c r="V32" i="10"/>
  <c r="U37" i="10"/>
  <c r="U8" i="10"/>
  <c r="T14" i="10"/>
  <c r="T39" i="10"/>
  <c r="T60" i="10"/>
  <c r="T62" i="10" s="1"/>
  <c r="U57" i="10"/>
  <c r="D53" i="6"/>
  <c r="D37" i="6"/>
  <c r="F30" i="6"/>
  <c r="F52" i="6" s="1"/>
  <c r="F55" i="6" s="1"/>
  <c r="H130" i="9"/>
  <c r="P101" i="42"/>
  <c r="V49" i="42"/>
  <c r="V66" i="42" s="1"/>
  <c r="M88" i="41"/>
  <c r="AD120" i="9"/>
  <c r="F130" i="9"/>
  <c r="X66" i="42"/>
  <c r="I121" i="9"/>
  <c r="I126" i="9" s="1"/>
  <c r="I28" i="6" s="1"/>
  <c r="I88" i="41"/>
  <c r="I61" i="41"/>
  <c r="Q121" i="9"/>
  <c r="Q126" i="9" s="1"/>
  <c r="Q28" i="6" s="1"/>
  <c r="Q30" i="6" s="1"/>
  <c r="Q52" i="6" s="1"/>
  <c r="Q61" i="41"/>
  <c r="Q88" i="41"/>
  <c r="I22" i="6"/>
  <c r="O22" i="6"/>
  <c r="O30" i="6" s="1"/>
  <c r="O52" i="6" s="1"/>
  <c r="O130" i="9"/>
  <c r="L50" i="9"/>
  <c r="L18" i="6" s="1"/>
  <c r="S11" i="17"/>
  <c r="S15" i="17" s="1"/>
  <c r="N11" i="17"/>
  <c r="N15" i="17" s="1"/>
  <c r="G30" i="6"/>
  <c r="G52" i="6" s="1"/>
  <c r="K30" i="6"/>
  <c r="K52" i="6" s="1"/>
  <c r="K55" i="6" s="1"/>
  <c r="K130" i="9"/>
  <c r="V11" i="17"/>
  <c r="V15" i="17" s="1"/>
  <c r="E11" i="17"/>
  <c r="E15" i="17" s="1"/>
  <c r="U34" i="17"/>
  <c r="U11" i="17"/>
  <c r="U15" i="17" s="1"/>
  <c r="Q11" i="17"/>
  <c r="Q15" i="17" s="1"/>
  <c r="M43" i="6"/>
  <c r="R54" i="6"/>
  <c r="R43" i="6"/>
  <c r="T54" i="1"/>
  <c r="U8" i="43"/>
  <c r="AD13" i="43"/>
  <c r="E43" i="6"/>
  <c r="U55" i="1"/>
  <c r="V9" i="43"/>
  <c r="D35" i="43"/>
  <c r="T32" i="43"/>
  <c r="T53" i="1"/>
  <c r="U7" i="43"/>
  <c r="T10" i="43"/>
  <c r="T33" i="43"/>
  <c r="H42" i="6"/>
  <c r="H54" i="6" s="1"/>
  <c r="H36" i="43"/>
  <c r="H38" i="43" s="1"/>
  <c r="L35" i="43"/>
  <c r="S21" i="43"/>
  <c r="P36" i="43"/>
  <c r="P38" i="43" s="1"/>
  <c r="Q36" i="43"/>
  <c r="Q38" i="43" s="1"/>
  <c r="Q42" i="6"/>
  <c r="R38" i="6"/>
  <c r="J37" i="6"/>
  <c r="J48" i="6"/>
  <c r="J38" i="6"/>
  <c r="U28" i="42"/>
  <c r="V23" i="42"/>
  <c r="W98" i="42"/>
  <c r="W101" i="42" s="1"/>
  <c r="X92" i="42"/>
  <c r="G31" i="42"/>
  <c r="G35" i="6"/>
  <c r="M66" i="42"/>
  <c r="AD63" i="42"/>
  <c r="O66" i="42"/>
  <c r="O36" i="6"/>
  <c r="L35" i="6"/>
  <c r="L31" i="42"/>
  <c r="AD49" i="42"/>
  <c r="N66" i="42"/>
  <c r="T179" i="42"/>
  <c r="T162" i="42"/>
  <c r="T157" i="42"/>
  <c r="T174" i="42" s="1"/>
  <c r="T47" i="1"/>
  <c r="L101" i="42"/>
  <c r="AD84" i="42"/>
  <c r="S8" i="42"/>
  <c r="S10" i="42" s="1"/>
  <c r="S36" i="6"/>
  <c r="S53" i="6" s="1"/>
  <c r="W29" i="42"/>
  <c r="V128" i="9"/>
  <c r="V29" i="6" s="1"/>
  <c r="Q48" i="6"/>
  <c r="Y66" i="42"/>
  <c r="F50" i="1"/>
  <c r="T44" i="1"/>
  <c r="T127" i="42"/>
  <c r="T144" i="42"/>
  <c r="T122" i="42"/>
  <c r="T139" i="42" s="1"/>
  <c r="V166" i="42"/>
  <c r="U171" i="42"/>
  <c r="U151" i="42" s="1"/>
  <c r="U153" i="42" s="1"/>
  <c r="F37" i="6"/>
  <c r="F48" i="6"/>
  <c r="F38" i="6"/>
  <c r="U89" i="42"/>
  <c r="U41" i="1"/>
  <c r="U109" i="42"/>
  <c r="U84" i="42"/>
  <c r="U101" i="42" s="1"/>
  <c r="I38" i="6"/>
  <c r="H37" i="6"/>
  <c r="H48" i="6"/>
  <c r="H38" i="6"/>
  <c r="U136" i="42"/>
  <c r="U116" i="42" s="1"/>
  <c r="U118" i="42" s="1"/>
  <c r="V130" i="42"/>
  <c r="T36" i="6"/>
  <c r="T53" i="6" s="1"/>
  <c r="T8" i="42"/>
  <c r="T10" i="42" s="1"/>
  <c r="AD14" i="42"/>
  <c r="M31" i="42"/>
  <c r="M35" i="6"/>
  <c r="T71" i="42"/>
  <c r="T49" i="42"/>
  <c r="T66" i="42" s="1"/>
  <c r="T54" i="42"/>
  <c r="T38" i="1"/>
  <c r="N35" i="6"/>
  <c r="AD171" i="42"/>
  <c r="M174" i="42"/>
  <c r="V109" i="42"/>
  <c r="V84" i="42"/>
  <c r="V101" i="42" s="1"/>
  <c r="V41" i="1"/>
  <c r="V89" i="42"/>
  <c r="AD136" i="42"/>
  <c r="M139" i="42"/>
  <c r="AD98" i="42"/>
  <c r="C130" i="9"/>
  <c r="C27" i="6"/>
  <c r="C30" i="6" s="1"/>
  <c r="C52" i="6" s="1"/>
  <c r="C55" i="6" s="1"/>
  <c r="X106" i="9"/>
  <c r="X25" i="6" s="1"/>
  <c r="T23" i="6"/>
  <c r="T32" i="9"/>
  <c r="T50" i="9" s="1"/>
  <c r="T18" i="6" s="1"/>
  <c r="M130" i="9"/>
  <c r="U63" i="9"/>
  <c r="U20" i="6" s="1"/>
  <c r="V47" i="9"/>
  <c r="U92" i="9"/>
  <c r="U24" i="6" s="1"/>
  <c r="E130" i="9"/>
  <c r="P50" i="9"/>
  <c r="P18" i="6" s="1"/>
  <c r="U16" i="9"/>
  <c r="W42" i="9"/>
  <c r="W10" i="9"/>
  <c r="W16" i="6" s="1"/>
  <c r="W69" i="9"/>
  <c r="W21" i="6" s="1"/>
  <c r="U23" i="6"/>
  <c r="G130" i="9"/>
  <c r="U57" i="9"/>
  <c r="U19" i="6" s="1"/>
  <c r="V23" i="6"/>
  <c r="M17" i="6"/>
  <c r="N22" i="6"/>
  <c r="AD78" i="9"/>
  <c r="T25" i="9"/>
  <c r="T26" i="9" s="1"/>
  <c r="T17" i="6" s="1"/>
  <c r="U37" i="9"/>
  <c r="V35" i="9"/>
  <c r="W106" i="9"/>
  <c r="W25" i="6" s="1"/>
  <c r="U67" i="6"/>
  <c r="V68" i="8"/>
  <c r="V66" i="6"/>
  <c r="V69" i="8"/>
  <c r="U68" i="6"/>
  <c r="V71" i="8"/>
  <c r="U70" i="6"/>
  <c r="V66" i="8"/>
  <c r="U64" i="6"/>
  <c r="V73" i="8"/>
  <c r="U72" i="6"/>
  <c r="V70" i="8"/>
  <c r="U69" i="6"/>
  <c r="S25" i="1"/>
  <c r="S18" i="53"/>
  <c r="AB34" i="53"/>
  <c r="V7" i="53"/>
  <c r="U17" i="53"/>
  <c r="T25" i="1"/>
  <c r="T18" i="53"/>
  <c r="U35" i="2"/>
  <c r="U70" i="2" s="1"/>
  <c r="S36" i="2"/>
  <c r="S24" i="1"/>
  <c r="T36" i="2"/>
  <c r="T24" i="1"/>
  <c r="N22" i="48"/>
  <c r="M29" i="48"/>
  <c r="N19" i="48"/>
  <c r="N26" i="48" s="1"/>
  <c r="M27" i="6"/>
  <c r="V17" i="1"/>
  <c r="V18" i="1"/>
  <c r="V113" i="9" s="1"/>
  <c r="L56" i="26"/>
  <c r="AC55" i="26"/>
  <c r="Y31" i="26"/>
  <c r="Z31" i="26" s="1"/>
  <c r="AA31" i="26" s="1"/>
  <c r="AD115" i="9"/>
  <c r="T19" i="1"/>
  <c r="T8" i="6" s="1"/>
  <c r="U19" i="1"/>
  <c r="U8" i="6" s="1"/>
  <c r="W32" i="26"/>
  <c r="V49" i="26"/>
  <c r="L27" i="6"/>
  <c r="T109" i="9"/>
  <c r="T26" i="6" s="1"/>
  <c r="T54" i="26"/>
  <c r="T50" i="26"/>
  <c r="U55" i="26"/>
  <c r="U53" i="26"/>
  <c r="U23" i="26"/>
  <c r="U109" i="9"/>
  <c r="U26" i="6" s="1"/>
  <c r="U50" i="26"/>
  <c r="U54" i="26"/>
  <c r="E56" i="26"/>
  <c r="F56" i="26"/>
  <c r="V16" i="1"/>
  <c r="V22" i="26"/>
  <c r="T23" i="26"/>
  <c r="T53" i="26"/>
  <c r="T55" i="26"/>
  <c r="T56" i="26" s="1"/>
  <c r="AD108" i="9"/>
  <c r="Z21" i="27"/>
  <c r="R73" i="27"/>
  <c r="V46" i="27"/>
  <c r="W45" i="27"/>
  <c r="P27" i="6"/>
  <c r="R79" i="27"/>
  <c r="Q85" i="27"/>
  <c r="S73" i="27"/>
  <c r="J79" i="27"/>
  <c r="C7" i="1"/>
  <c r="D7" i="27"/>
  <c r="D130" i="9"/>
  <c r="S85" i="27"/>
  <c r="R27" i="6"/>
  <c r="R30" i="6" s="1"/>
  <c r="R52" i="6" s="1"/>
  <c r="R130" i="9"/>
  <c r="U85" i="27"/>
  <c r="H44" i="6"/>
  <c r="H49" i="6"/>
  <c r="I44" i="6"/>
  <c r="J130" i="9"/>
  <c r="J27" i="6"/>
  <c r="J30" i="6" s="1"/>
  <c r="H43" i="6"/>
  <c r="K49" i="6"/>
  <c r="K44" i="6"/>
  <c r="P37" i="6"/>
  <c r="P48" i="6"/>
  <c r="P38" i="6"/>
  <c r="Q38" i="6"/>
  <c r="N27" i="6"/>
  <c r="N130" i="9"/>
  <c r="AA49" i="26" l="1"/>
  <c r="AB31" i="26"/>
  <c r="AB49" i="26" s="1"/>
  <c r="S18" i="6"/>
  <c r="S30" i="6" s="1"/>
  <c r="S52" i="6" s="1"/>
  <c r="I43" i="6"/>
  <c r="J54" i="6"/>
  <c r="J43" i="6"/>
  <c r="H55" i="6"/>
  <c r="R55" i="6"/>
  <c r="G42" i="6"/>
  <c r="G36" i="43"/>
  <c r="G38" i="43" s="1"/>
  <c r="V21" i="9"/>
  <c r="V114" i="9"/>
  <c r="V47" i="27"/>
  <c r="AD125" i="9"/>
  <c r="Q130" i="9"/>
  <c r="I130" i="9"/>
  <c r="I30" i="6"/>
  <c r="I32" i="6" s="1"/>
  <c r="S26" i="1"/>
  <c r="S10" i="6" s="1"/>
  <c r="C37" i="6"/>
  <c r="C38" i="6"/>
  <c r="D38" i="6"/>
  <c r="C48" i="6"/>
  <c r="Y106" i="9"/>
  <c r="Y25" i="6" s="1"/>
  <c r="AD10" i="9"/>
  <c r="M30" i="6"/>
  <c r="M52" i="6" s="1"/>
  <c r="M55" i="6" s="1"/>
  <c r="E32" i="6"/>
  <c r="U39" i="10"/>
  <c r="M8" i="1"/>
  <c r="AD13" i="27"/>
  <c r="C11" i="1"/>
  <c r="C18" i="27"/>
  <c r="C19" i="27" s="1"/>
  <c r="C21" i="27"/>
  <c r="C12" i="1" s="1"/>
  <c r="N30" i="6"/>
  <c r="O32" i="6" s="1"/>
  <c r="Q37" i="6"/>
  <c r="L30" i="6"/>
  <c r="L52" i="6" s="1"/>
  <c r="D32" i="6"/>
  <c r="V116" i="9"/>
  <c r="V27" i="6" s="1"/>
  <c r="H32" i="6"/>
  <c r="C32" i="6"/>
  <c r="V19" i="1"/>
  <c r="V8" i="6" s="1"/>
  <c r="W18" i="48"/>
  <c r="Y6" i="48"/>
  <c r="X16" i="48"/>
  <c r="Y7" i="48"/>
  <c r="X17" i="48"/>
  <c r="U14" i="10"/>
  <c r="V8" i="10"/>
  <c r="V57" i="10"/>
  <c r="U60" i="10"/>
  <c r="U62" i="10" s="1"/>
  <c r="Y43" i="10"/>
  <c r="X47" i="10"/>
  <c r="W32" i="10"/>
  <c r="V37" i="10"/>
  <c r="T16" i="10"/>
  <c r="T51" i="10" s="1"/>
  <c r="T59" i="6" s="1"/>
  <c r="U49" i="10"/>
  <c r="V49" i="10" s="1"/>
  <c r="W49" i="10" s="1"/>
  <c r="F32" i="6"/>
  <c r="G32" i="6"/>
  <c r="AD49" i="9"/>
  <c r="L130" i="9"/>
  <c r="Q54" i="6"/>
  <c r="Q43" i="6"/>
  <c r="Q55" i="6"/>
  <c r="U53" i="1"/>
  <c r="V7" i="43"/>
  <c r="U10" i="43"/>
  <c r="U33" i="43"/>
  <c r="U32" i="43"/>
  <c r="U35" i="43" s="1"/>
  <c r="T56" i="1"/>
  <c r="T41" i="6" s="1"/>
  <c r="S42" i="6"/>
  <c r="S36" i="43"/>
  <c r="S38" i="43" s="1"/>
  <c r="T13" i="43"/>
  <c r="T21" i="43"/>
  <c r="T35" i="43"/>
  <c r="L42" i="6"/>
  <c r="AD35" i="43"/>
  <c r="L36" i="43"/>
  <c r="D42" i="6"/>
  <c r="D36" i="43"/>
  <c r="D38" i="43" s="1"/>
  <c r="V55" i="1"/>
  <c r="W9" i="43"/>
  <c r="U54" i="1"/>
  <c r="V8" i="43"/>
  <c r="M48" i="6"/>
  <c r="M37" i="6"/>
  <c r="M38" i="6"/>
  <c r="X98" i="42"/>
  <c r="X101" i="42" s="1"/>
  <c r="Y92" i="42"/>
  <c r="L37" i="6"/>
  <c r="L48" i="6"/>
  <c r="L38" i="6"/>
  <c r="U157" i="42"/>
  <c r="U174" i="42" s="1"/>
  <c r="U47" i="1"/>
  <c r="U179" i="42"/>
  <c r="U162" i="42"/>
  <c r="O53" i="6"/>
  <c r="O55" i="6" s="1"/>
  <c r="O37" i="6"/>
  <c r="V28" i="42"/>
  <c r="W23" i="42"/>
  <c r="T14" i="42"/>
  <c r="T31" i="42" s="1"/>
  <c r="T36" i="42"/>
  <c r="T19" i="42"/>
  <c r="T35" i="1"/>
  <c r="T50" i="1" s="1"/>
  <c r="T35" i="6" s="1"/>
  <c r="V171" i="42"/>
  <c r="V151" i="42" s="1"/>
  <c r="V153" i="42" s="1"/>
  <c r="W166" i="42"/>
  <c r="U8" i="42"/>
  <c r="U10" i="42" s="1"/>
  <c r="U36" i="6"/>
  <c r="U53" i="6" s="1"/>
  <c r="W128" i="9"/>
  <c r="W29" i="6" s="1"/>
  <c r="X29" i="42"/>
  <c r="W130" i="42"/>
  <c r="V136" i="42"/>
  <c r="V116" i="42" s="1"/>
  <c r="V118" i="42" s="1"/>
  <c r="U127" i="42"/>
  <c r="U44" i="1"/>
  <c r="U122" i="42"/>
  <c r="U139" i="42" s="1"/>
  <c r="U144" i="42"/>
  <c r="S36" i="42"/>
  <c r="S19" i="42"/>
  <c r="S35" i="1"/>
  <c r="S50" i="1" s="1"/>
  <c r="S35" i="6" s="1"/>
  <c r="S14" i="42"/>
  <c r="S31" i="42" s="1"/>
  <c r="G37" i="6"/>
  <c r="G48" i="6"/>
  <c r="G38" i="6"/>
  <c r="N37" i="6"/>
  <c r="N48" i="6"/>
  <c r="N38" i="6"/>
  <c r="O38" i="6"/>
  <c r="X69" i="9"/>
  <c r="X21" i="6" s="1"/>
  <c r="AD14" i="9"/>
  <c r="V16" i="9"/>
  <c r="W47" i="9"/>
  <c r="V57" i="9"/>
  <c r="V19" i="6" s="1"/>
  <c r="W23" i="6"/>
  <c r="X10" i="9"/>
  <c r="X16" i="6" s="1"/>
  <c r="AD61" i="9"/>
  <c r="V63" i="9"/>
  <c r="V20" i="6" s="1"/>
  <c r="U25" i="9"/>
  <c r="U26" i="9" s="1"/>
  <c r="P30" i="6"/>
  <c r="Q32" i="6" s="1"/>
  <c r="P130" i="9"/>
  <c r="X42" i="9"/>
  <c r="Y39" i="9"/>
  <c r="T30" i="6"/>
  <c r="V92" i="9"/>
  <c r="V24" i="6" s="1"/>
  <c r="W35" i="9"/>
  <c r="V37" i="9"/>
  <c r="U32" i="9"/>
  <c r="U50" i="9" s="1"/>
  <c r="U18" i="6" s="1"/>
  <c r="V70" i="6"/>
  <c r="W71" i="8"/>
  <c r="V68" i="6"/>
  <c r="W69" i="8"/>
  <c r="W70" i="8"/>
  <c r="V69" i="6"/>
  <c r="W66" i="6"/>
  <c r="V72" i="6"/>
  <c r="W73" i="8"/>
  <c r="X73" i="8" s="1"/>
  <c r="Y73" i="8" s="1"/>
  <c r="Z73" i="8" s="1"/>
  <c r="V67" i="6"/>
  <c r="W68" i="8"/>
  <c r="W66" i="8"/>
  <c r="V64" i="6"/>
  <c r="T26" i="1"/>
  <c r="T10" i="6" s="1"/>
  <c r="U18" i="53"/>
  <c r="U25" i="1"/>
  <c r="U35" i="53"/>
  <c r="V17" i="53"/>
  <c r="W7" i="53"/>
  <c r="U36" i="2"/>
  <c r="U24" i="1"/>
  <c r="U26" i="1" s="1"/>
  <c r="U10" i="6" s="1"/>
  <c r="U71" i="2"/>
  <c r="V35" i="2"/>
  <c r="W17" i="1"/>
  <c r="V54" i="26"/>
  <c r="V50" i="26"/>
  <c r="V109" i="9"/>
  <c r="V26" i="6" s="1"/>
  <c r="V55" i="26"/>
  <c r="V56" i="26" s="1"/>
  <c r="V23" i="26"/>
  <c r="V53" i="26"/>
  <c r="X32" i="26"/>
  <c r="W49" i="26"/>
  <c r="T130" i="9"/>
  <c r="W18" i="1"/>
  <c r="W113" i="9" s="1"/>
  <c r="W22" i="26"/>
  <c r="W16" i="1"/>
  <c r="U56" i="26"/>
  <c r="N28" i="48"/>
  <c r="X45" i="27"/>
  <c r="W46" i="27"/>
  <c r="U27" i="27"/>
  <c r="R32" i="6"/>
  <c r="D9" i="27"/>
  <c r="D12" i="27" s="1"/>
  <c r="D28" i="27" s="1"/>
  <c r="D29" i="27" s="1"/>
  <c r="J52" i="6"/>
  <c r="J55" i="6" s="1"/>
  <c r="K32" i="6"/>
  <c r="Z106" i="9" l="1"/>
  <c r="Z25" i="6" s="1"/>
  <c r="AB109" i="9"/>
  <c r="AB26" i="6" s="1"/>
  <c r="AB50" i="26"/>
  <c r="AB54" i="26"/>
  <c r="AA109" i="9"/>
  <c r="AA26" i="6" s="1"/>
  <c r="AA54" i="26"/>
  <c r="T32" i="6"/>
  <c r="S32" i="6"/>
  <c r="G54" i="6"/>
  <c r="G55" i="6" s="1"/>
  <c r="G43" i="6"/>
  <c r="AB54" i="6"/>
  <c r="AB43" i="6"/>
  <c r="W21" i="9"/>
  <c r="AD21" i="9" s="1"/>
  <c r="AD19" i="9"/>
  <c r="J32" i="6"/>
  <c r="W114" i="9"/>
  <c r="W47" i="27"/>
  <c r="I52" i="6"/>
  <c r="I55" i="6" s="1"/>
  <c r="Y98" i="42"/>
  <c r="Y101" i="42" s="1"/>
  <c r="Z92" i="42"/>
  <c r="Z98" i="42" s="1"/>
  <c r="Z101" i="42" s="1"/>
  <c r="Y69" i="9"/>
  <c r="Y21" i="6" s="1"/>
  <c r="Y10" i="9"/>
  <c r="Y16" i="6" s="1"/>
  <c r="Y42" i="9"/>
  <c r="Z39" i="9"/>
  <c r="V39" i="10"/>
  <c r="Y47" i="10"/>
  <c r="Z43" i="10"/>
  <c r="N32" i="6"/>
  <c r="N52" i="6"/>
  <c r="N55" i="6" s="1"/>
  <c r="C13" i="1"/>
  <c r="C32" i="1" s="1"/>
  <c r="C58" i="1" s="1"/>
  <c r="M32" i="6"/>
  <c r="L32" i="6"/>
  <c r="AD129" i="9"/>
  <c r="W19" i="1"/>
  <c r="W8" i="6" s="1"/>
  <c r="W116" i="9"/>
  <c r="W27" i="6" s="1"/>
  <c r="X18" i="48"/>
  <c r="Y16" i="48"/>
  <c r="Z6" i="48"/>
  <c r="Y17" i="48"/>
  <c r="Z7" i="48"/>
  <c r="X49" i="10"/>
  <c r="Y49" i="10" s="1"/>
  <c r="W57" i="10"/>
  <c r="V60" i="10"/>
  <c r="V62" i="10" s="1"/>
  <c r="W8" i="10"/>
  <c r="V14" i="10"/>
  <c r="W37" i="10"/>
  <c r="W39" i="10" s="1"/>
  <c r="X32" i="10"/>
  <c r="U16" i="10"/>
  <c r="U51" i="10" s="1"/>
  <c r="U59" i="6" s="1"/>
  <c r="P52" i="6"/>
  <c r="P55" i="6" s="1"/>
  <c r="L54" i="6"/>
  <c r="L55" i="6" s="1"/>
  <c r="L43" i="6"/>
  <c r="W55" i="1"/>
  <c r="X9" i="43"/>
  <c r="L38" i="43"/>
  <c r="AD38" i="43" s="1"/>
  <c r="AD36" i="43"/>
  <c r="T44" i="6"/>
  <c r="T49" i="6"/>
  <c r="U13" i="43"/>
  <c r="U21" i="43"/>
  <c r="S54" i="6"/>
  <c r="S55" i="6" s="1"/>
  <c r="S43" i="6"/>
  <c r="V53" i="1"/>
  <c r="V56" i="1" s="1"/>
  <c r="V41" i="6" s="1"/>
  <c r="V33" i="43"/>
  <c r="V32" i="43"/>
  <c r="V35" i="43" s="1"/>
  <c r="V10" i="43"/>
  <c r="W7" i="43"/>
  <c r="D54" i="6"/>
  <c r="D55" i="6" s="1"/>
  <c r="D43" i="6"/>
  <c r="T28" i="43"/>
  <c r="T29" i="43" s="1"/>
  <c r="U56" i="1"/>
  <c r="U41" i="6" s="1"/>
  <c r="V54" i="1"/>
  <c r="W8" i="43"/>
  <c r="W28" i="42"/>
  <c r="X23" i="42"/>
  <c r="P32" i="6"/>
  <c r="U14" i="42"/>
  <c r="U31" i="42" s="1"/>
  <c r="U36" i="42"/>
  <c r="U35" i="1"/>
  <c r="U50" i="1" s="1"/>
  <c r="U35" i="6" s="1"/>
  <c r="U19" i="42"/>
  <c r="V8" i="42"/>
  <c r="V10" i="42" s="1"/>
  <c r="V36" i="6"/>
  <c r="V53" i="6" s="1"/>
  <c r="W171" i="42"/>
  <c r="W174" i="42" s="1"/>
  <c r="X166" i="42"/>
  <c r="S38" i="6"/>
  <c r="S48" i="6"/>
  <c r="S37" i="6"/>
  <c r="W136" i="42"/>
  <c r="W139" i="42" s="1"/>
  <c r="X130" i="42"/>
  <c r="V179" i="42"/>
  <c r="V157" i="42"/>
  <c r="V174" i="42" s="1"/>
  <c r="V47" i="1"/>
  <c r="V162" i="42"/>
  <c r="V44" i="1"/>
  <c r="V144" i="42"/>
  <c r="V122" i="42"/>
  <c r="V139" i="42" s="1"/>
  <c r="V127" i="42"/>
  <c r="T37" i="6"/>
  <c r="T48" i="6"/>
  <c r="T38" i="6"/>
  <c r="Y29" i="42"/>
  <c r="X128" i="9"/>
  <c r="X29" i="6" s="1"/>
  <c r="U17" i="6"/>
  <c r="U30" i="6" s="1"/>
  <c r="U130" i="9"/>
  <c r="V32" i="9"/>
  <c r="V50" i="9" s="1"/>
  <c r="V18" i="6" s="1"/>
  <c r="X47" i="9"/>
  <c r="Y44" i="9"/>
  <c r="W57" i="9"/>
  <c r="W19" i="6" s="1"/>
  <c r="W63" i="9"/>
  <c r="W20" i="6" s="1"/>
  <c r="T52" i="6"/>
  <c r="Y86" i="9"/>
  <c r="X23" i="6"/>
  <c r="W16" i="9"/>
  <c r="AD16" i="9" s="1"/>
  <c r="X35" i="9"/>
  <c r="W37" i="9"/>
  <c r="W92" i="9"/>
  <c r="W24" i="6" s="1"/>
  <c r="AD24" i="9"/>
  <c r="V25" i="9"/>
  <c r="V26" i="9" s="1"/>
  <c r="X66" i="6"/>
  <c r="W64" i="6"/>
  <c r="X66" i="8"/>
  <c r="X70" i="8"/>
  <c r="W69" i="6"/>
  <c r="W68" i="6"/>
  <c r="X69" i="8"/>
  <c r="W67" i="6"/>
  <c r="X68" i="8"/>
  <c r="W70" i="6"/>
  <c r="X71" i="8"/>
  <c r="X7" i="53"/>
  <c r="W17" i="53"/>
  <c r="V35" i="53"/>
  <c r="V25" i="1"/>
  <c r="V18" i="53"/>
  <c r="V24" i="1"/>
  <c r="V26" i="1" s="1"/>
  <c r="V10" i="6" s="1"/>
  <c r="V36" i="2"/>
  <c r="V71" i="2"/>
  <c r="W35" i="2"/>
  <c r="Y7" i="2"/>
  <c r="X18" i="1"/>
  <c r="X113" i="9" s="1"/>
  <c r="Y12" i="26"/>
  <c r="O22" i="48"/>
  <c r="N29" i="48"/>
  <c r="O19" i="48"/>
  <c r="O26" i="48" s="1"/>
  <c r="W109" i="9"/>
  <c r="W26" i="6" s="1"/>
  <c r="W54" i="26"/>
  <c r="W50" i="26"/>
  <c r="Y32" i="26"/>
  <c r="X49" i="26"/>
  <c r="X17" i="1"/>
  <c r="Y13" i="26"/>
  <c r="X16" i="1"/>
  <c r="Z16" i="1"/>
  <c r="X22" i="26"/>
  <c r="W55" i="26"/>
  <c r="W56" i="26" s="1"/>
  <c r="W53" i="26"/>
  <c r="W23" i="26"/>
  <c r="E7" i="27"/>
  <c r="D7" i="1"/>
  <c r="D11" i="1" s="1"/>
  <c r="D18" i="27"/>
  <c r="X46" i="27"/>
  <c r="Y45" i="27"/>
  <c r="V27" i="27"/>
  <c r="AB106" i="9" l="1"/>
  <c r="AB25" i="6" s="1"/>
  <c r="AA106" i="9"/>
  <c r="AA25" i="6" s="1"/>
  <c r="Z69" i="9"/>
  <c r="Z21" i="6" s="1"/>
  <c r="Z42" i="9"/>
  <c r="AA39" i="9"/>
  <c r="X21" i="9"/>
  <c r="X47" i="27"/>
  <c r="Y128" i="9"/>
  <c r="Y29" i="6" s="1"/>
  <c r="Z29" i="42"/>
  <c r="Z10" i="9"/>
  <c r="Z16" i="6" s="1"/>
  <c r="Y47" i="9"/>
  <c r="Z44" i="9"/>
  <c r="Y23" i="6"/>
  <c r="Z86" i="9"/>
  <c r="Z23" i="6" s="1"/>
  <c r="Z47" i="10"/>
  <c r="Z49" i="10" s="1"/>
  <c r="AA43" i="10"/>
  <c r="Y66" i="6"/>
  <c r="C7" i="6"/>
  <c r="C12" i="6" s="1"/>
  <c r="C13" i="6" s="1"/>
  <c r="C49" i="8"/>
  <c r="C51" i="8" s="1"/>
  <c r="D19" i="27"/>
  <c r="D21" i="27"/>
  <c r="D12" i="1" s="1"/>
  <c r="D13" i="1" s="1"/>
  <c r="Y49" i="26"/>
  <c r="Y109" i="9" s="1"/>
  <c r="Y26" i="6" s="1"/>
  <c r="Z32" i="26"/>
  <c r="Z49" i="26" s="1"/>
  <c r="AA50" i="26" s="1"/>
  <c r="Y17" i="1"/>
  <c r="Z13" i="26"/>
  <c r="Y18" i="1"/>
  <c r="Y113" i="9" s="1"/>
  <c r="Y116" i="9" s="1"/>
  <c r="Y27" i="6" s="1"/>
  <c r="Z12" i="26"/>
  <c r="Y46" i="27"/>
  <c r="Y47" i="27" s="1"/>
  <c r="Z45" i="27"/>
  <c r="Z46" i="27" s="1"/>
  <c r="Z17" i="48"/>
  <c r="Z18" i="48" s="1"/>
  <c r="AA7" i="48"/>
  <c r="AA17" i="48" s="1"/>
  <c r="Z16" i="48"/>
  <c r="AA6" i="48"/>
  <c r="AA16" i="48" s="1"/>
  <c r="Y18" i="48"/>
  <c r="W14" i="10"/>
  <c r="X8" i="10"/>
  <c r="W60" i="10"/>
  <c r="W62" i="10" s="1"/>
  <c r="X57" i="10"/>
  <c r="Y32" i="10"/>
  <c r="X37" i="10"/>
  <c r="X39" i="10" s="1"/>
  <c r="V16" i="10"/>
  <c r="V51" i="10" s="1"/>
  <c r="V59" i="6" s="1"/>
  <c r="U49" i="6"/>
  <c r="U44" i="6"/>
  <c r="Y9" i="43"/>
  <c r="X55" i="1"/>
  <c r="V49" i="6"/>
  <c r="V44" i="6"/>
  <c r="T42" i="6"/>
  <c r="T36" i="43"/>
  <c r="T38" i="43" s="1"/>
  <c r="W10" i="43"/>
  <c r="W53" i="1"/>
  <c r="W32" i="43"/>
  <c r="X7" i="43"/>
  <c r="W33" i="43"/>
  <c r="U28" i="43"/>
  <c r="U29" i="43" s="1"/>
  <c r="W54" i="1"/>
  <c r="X8" i="43"/>
  <c r="V21" i="43"/>
  <c r="V13" i="43"/>
  <c r="W36" i="6"/>
  <c r="W53" i="6" s="1"/>
  <c r="W8" i="42"/>
  <c r="W10" i="42" s="1"/>
  <c r="X136" i="42"/>
  <c r="X139" i="42" s="1"/>
  <c r="Y130" i="42"/>
  <c r="V19" i="42"/>
  <c r="V36" i="42"/>
  <c r="V14" i="42"/>
  <c r="V31" i="42" s="1"/>
  <c r="V35" i="1"/>
  <c r="V50" i="1" s="1"/>
  <c r="V35" i="6" s="1"/>
  <c r="Y166" i="42"/>
  <c r="X171" i="42"/>
  <c r="X174" i="42" s="1"/>
  <c r="Y23" i="42"/>
  <c r="X28" i="42"/>
  <c r="U37" i="6"/>
  <c r="U48" i="6"/>
  <c r="U38" i="6"/>
  <c r="V17" i="6"/>
  <c r="V30" i="6" s="1"/>
  <c r="V32" i="6" s="1"/>
  <c r="V130" i="9"/>
  <c r="X16" i="9"/>
  <c r="X92" i="9"/>
  <c r="X24" i="6" s="1"/>
  <c r="Y89" i="9"/>
  <c r="U52" i="6"/>
  <c r="U32" i="6"/>
  <c r="X63" i="9"/>
  <c r="X20" i="6" s="1"/>
  <c r="W25" i="9"/>
  <c r="Y35" i="9"/>
  <c r="X37" i="9"/>
  <c r="W32" i="9"/>
  <c r="W50" i="9" s="1"/>
  <c r="W18" i="6" s="1"/>
  <c r="X57" i="9"/>
  <c r="X19" i="6" s="1"/>
  <c r="Y69" i="8"/>
  <c r="Y68" i="6" s="1"/>
  <c r="X68" i="6"/>
  <c r="Y70" i="8"/>
  <c r="Y69" i="6" s="1"/>
  <c r="X69" i="6"/>
  <c r="Y71" i="8"/>
  <c r="Y70" i="6" s="1"/>
  <c r="X70" i="6"/>
  <c r="Y66" i="8"/>
  <c r="X64" i="6"/>
  <c r="X67" i="6"/>
  <c r="Y68" i="8"/>
  <c r="W25" i="1"/>
  <c r="W18" i="53"/>
  <c r="W35" i="53"/>
  <c r="Y7" i="53"/>
  <c r="Y17" i="53" s="1"/>
  <c r="X17" i="53"/>
  <c r="X35" i="2"/>
  <c r="W24" i="1"/>
  <c r="W36" i="2"/>
  <c r="W71" i="2"/>
  <c r="Y22" i="26"/>
  <c r="Y16" i="1"/>
  <c r="X19" i="1"/>
  <c r="X8" i="6" s="1"/>
  <c r="X55" i="26"/>
  <c r="X56" i="26" s="1"/>
  <c r="X23" i="26"/>
  <c r="X53" i="26"/>
  <c r="X54" i="26"/>
  <c r="X50" i="26"/>
  <c r="X109" i="9"/>
  <c r="X26" i="6" s="1"/>
  <c r="O28" i="48"/>
  <c r="X116" i="9"/>
  <c r="X27" i="6" s="1"/>
  <c r="W27" i="27"/>
  <c r="E9" i="27"/>
  <c r="E12" i="27" s="1"/>
  <c r="E28" i="27" s="1"/>
  <c r="E29" i="27" s="1"/>
  <c r="Y67" i="6" l="1"/>
  <c r="Z68" i="8"/>
  <c r="AA68" i="8" s="1"/>
  <c r="Z17" i="1"/>
  <c r="AA13" i="26"/>
  <c r="Z18" i="1"/>
  <c r="Z113" i="9" s="1"/>
  <c r="Z116" i="9" s="1"/>
  <c r="Z27" i="6" s="1"/>
  <c r="AA12" i="26"/>
  <c r="AA66" i="6"/>
  <c r="Z66" i="6"/>
  <c r="AA86" i="9"/>
  <c r="AA23" i="6" s="1"/>
  <c r="AB69" i="9"/>
  <c r="AA69" i="9"/>
  <c r="AA21" i="6" s="1"/>
  <c r="AB39" i="9"/>
  <c r="AA42" i="9"/>
  <c r="Z47" i="9"/>
  <c r="AA44" i="9"/>
  <c r="Y55" i="1"/>
  <c r="Z9" i="43"/>
  <c r="W26" i="9"/>
  <c r="AD26" i="9" s="1"/>
  <c r="AD25" i="9"/>
  <c r="Y21" i="9"/>
  <c r="Z47" i="27"/>
  <c r="W56" i="1"/>
  <c r="W41" i="6" s="1"/>
  <c r="Y136" i="42"/>
  <c r="Y139" i="42" s="1"/>
  <c r="Z130" i="42"/>
  <c r="Z136" i="42" s="1"/>
  <c r="Z139" i="42" s="1"/>
  <c r="Y28" i="42"/>
  <c r="Z23" i="42"/>
  <c r="Z28" i="42" s="1"/>
  <c r="Y171" i="42"/>
  <c r="Y174" i="42" s="1"/>
  <c r="Z166" i="42"/>
  <c r="Z171" i="42" s="1"/>
  <c r="Z174" i="42" s="1"/>
  <c r="AB10" i="9"/>
  <c r="AA10" i="9"/>
  <c r="AA16" i="6" s="1"/>
  <c r="Y37" i="9"/>
  <c r="Z35" i="9"/>
  <c r="Y92" i="9"/>
  <c r="Y24" i="6" s="1"/>
  <c r="Z89" i="9"/>
  <c r="Y57" i="9"/>
  <c r="Y19" i="6" s="1"/>
  <c r="Y63" i="9"/>
  <c r="Y20" i="6" s="1"/>
  <c r="Y37" i="10"/>
  <c r="Z32" i="10"/>
  <c r="AB43" i="10"/>
  <c r="AB47" i="10" s="1"/>
  <c r="AA47" i="10"/>
  <c r="AA49" i="10" s="1"/>
  <c r="Y64" i="6"/>
  <c r="Z66" i="8"/>
  <c r="Z19" i="1"/>
  <c r="Z8" i="6" s="1"/>
  <c r="Y35" i="2"/>
  <c r="Y36" i="2" s="1"/>
  <c r="Z7" i="2"/>
  <c r="Y54" i="26"/>
  <c r="Y50" i="26"/>
  <c r="Y19" i="1"/>
  <c r="Y8" i="6" s="1"/>
  <c r="C47" i="6"/>
  <c r="C50" i="6" s="1"/>
  <c r="C56" i="6" s="1"/>
  <c r="C31" i="6"/>
  <c r="D32" i="1"/>
  <c r="D49" i="8" s="1"/>
  <c r="D51" i="8" s="1"/>
  <c r="D7" i="6"/>
  <c r="D12" i="6" s="1"/>
  <c r="D47" i="6" s="1"/>
  <c r="D50" i="6" s="1"/>
  <c r="D56" i="6" s="1"/>
  <c r="AA18" i="48"/>
  <c r="Z22" i="26"/>
  <c r="Z109" i="9"/>
  <c r="Z26" i="6" s="1"/>
  <c r="Z50" i="26"/>
  <c r="Z54" i="26"/>
  <c r="Y39" i="10"/>
  <c r="Y8" i="10"/>
  <c r="X14" i="10"/>
  <c r="Y57" i="10"/>
  <c r="X60" i="10"/>
  <c r="X62" i="10" s="1"/>
  <c r="W16" i="10"/>
  <c r="W51" i="10" s="1"/>
  <c r="W59" i="6" s="1"/>
  <c r="T54" i="6"/>
  <c r="T55" i="6" s="1"/>
  <c r="T43" i="6"/>
  <c r="X32" i="43"/>
  <c r="X33" i="43"/>
  <c r="Y7" i="43"/>
  <c r="Z7" i="43" s="1"/>
  <c r="X53" i="1"/>
  <c r="X10" i="43"/>
  <c r="V28" i="43"/>
  <c r="V29" i="43" s="1"/>
  <c r="W35" i="43"/>
  <c r="U42" i="6"/>
  <c r="U36" i="43"/>
  <c r="U38" i="43" s="1"/>
  <c r="Y8" i="43"/>
  <c r="X54" i="1"/>
  <c r="W13" i="43"/>
  <c r="W21" i="43"/>
  <c r="W49" i="6"/>
  <c r="W44" i="6"/>
  <c r="V52" i="6"/>
  <c r="X36" i="6"/>
  <c r="X53" i="6" s="1"/>
  <c r="X8" i="42"/>
  <c r="X10" i="42" s="1"/>
  <c r="V48" i="6"/>
  <c r="V37" i="6"/>
  <c r="V38" i="6"/>
  <c r="Y36" i="6"/>
  <c r="Y53" i="6" s="1"/>
  <c r="Y8" i="42"/>
  <c r="Y10" i="42" s="1"/>
  <c r="W14" i="42"/>
  <c r="W31" i="42" s="1"/>
  <c r="W36" i="42"/>
  <c r="W35" i="1"/>
  <c r="W50" i="1" s="1"/>
  <c r="W35" i="6" s="1"/>
  <c r="W19" i="42"/>
  <c r="W17" i="6"/>
  <c r="W30" i="6" s="1"/>
  <c r="W130" i="9"/>
  <c r="X32" i="9"/>
  <c r="X50" i="9" s="1"/>
  <c r="X18" i="6" s="1"/>
  <c r="X25" i="9"/>
  <c r="X26" i="9" s="1"/>
  <c r="W26" i="1"/>
  <c r="W10" i="6" s="1"/>
  <c r="X18" i="53"/>
  <c r="X25" i="1"/>
  <c r="X35" i="53"/>
  <c r="Y25" i="1"/>
  <c r="Y18" i="53"/>
  <c r="Y35" i="53"/>
  <c r="Y24" i="1"/>
  <c r="Y26" i="1" s="1"/>
  <c r="Y10" i="6" s="1"/>
  <c r="X36" i="2"/>
  <c r="X24" i="1"/>
  <c r="X71" i="2"/>
  <c r="Y55" i="26"/>
  <c r="Y56" i="26" s="1"/>
  <c r="Y53" i="26"/>
  <c r="Y23" i="26"/>
  <c r="P22" i="48"/>
  <c r="O29" i="48"/>
  <c r="P19" i="48"/>
  <c r="P26" i="48"/>
  <c r="E7" i="1"/>
  <c r="E11" i="1" s="1"/>
  <c r="E18" i="27"/>
  <c r="F7" i="27"/>
  <c r="X27" i="27"/>
  <c r="AB42" i="9" l="1"/>
  <c r="AC42" i="9" s="1"/>
  <c r="AC39" i="9"/>
  <c r="AC69" i="9"/>
  <c r="AB21" i="6"/>
  <c r="Z35" i="2"/>
  <c r="Z24" i="1" s="1"/>
  <c r="Z26" i="1" s="1"/>
  <c r="Z10" i="6" s="1"/>
  <c r="AA7" i="2"/>
  <c r="AB66" i="6"/>
  <c r="AB68" i="8"/>
  <c r="Z67" i="6"/>
  <c r="AB16" i="6"/>
  <c r="AC10" i="9"/>
  <c r="Z10" i="42"/>
  <c r="Z36" i="6"/>
  <c r="AA17" i="1"/>
  <c r="AB13" i="26"/>
  <c r="AB17" i="1" s="1"/>
  <c r="AB12" i="26"/>
  <c r="AA18" i="1"/>
  <c r="AA22" i="26"/>
  <c r="Z55" i="26"/>
  <c r="Z56" i="26" s="1"/>
  <c r="AA23" i="26"/>
  <c r="Z92" i="9"/>
  <c r="Z24" i="6" s="1"/>
  <c r="AA89" i="9"/>
  <c r="AB86" i="9"/>
  <c r="Z63" i="9"/>
  <c r="Z20" i="6" s="1"/>
  <c r="Z57" i="9"/>
  <c r="Z19" i="6" s="1"/>
  <c r="AB44" i="9"/>
  <c r="AA47" i="9"/>
  <c r="X35" i="43"/>
  <c r="Y54" i="1"/>
  <c r="Z8" i="43"/>
  <c r="Z32" i="43" s="1"/>
  <c r="Z37" i="9"/>
  <c r="AA35" i="9"/>
  <c r="Z21" i="9"/>
  <c r="X26" i="1"/>
  <c r="X10" i="6" s="1"/>
  <c r="X56" i="1"/>
  <c r="X41" i="6" s="1"/>
  <c r="X44" i="6" s="1"/>
  <c r="Z36" i="42"/>
  <c r="Z14" i="42"/>
  <c r="Z31" i="42" s="1"/>
  <c r="Z19" i="42"/>
  <c r="Y32" i="9"/>
  <c r="Y50" i="9" s="1"/>
  <c r="Y18" i="6" s="1"/>
  <c r="Y25" i="9"/>
  <c r="Y26" i="9" s="1"/>
  <c r="AB49" i="10"/>
  <c r="Y14" i="10"/>
  <c r="Z8" i="10"/>
  <c r="Z37" i="10"/>
  <c r="Z39" i="10" s="1"/>
  <c r="AA32" i="10"/>
  <c r="Y60" i="10"/>
  <c r="Z57" i="10"/>
  <c r="Y71" i="2"/>
  <c r="Z23" i="26"/>
  <c r="Z53" i="26"/>
  <c r="D58" i="1"/>
  <c r="D13" i="6"/>
  <c r="D31" i="6"/>
  <c r="E19" i="27"/>
  <c r="E21" i="27"/>
  <c r="E12" i="1" s="1"/>
  <c r="E13" i="1" s="1"/>
  <c r="E7" i="6" s="1"/>
  <c r="E12" i="6" s="1"/>
  <c r="Y62" i="10"/>
  <c r="X16" i="10"/>
  <c r="X51" i="10" s="1"/>
  <c r="X59" i="6" s="1"/>
  <c r="V36" i="43"/>
  <c r="V38" i="43" s="1"/>
  <c r="V42" i="6"/>
  <c r="X13" i="43"/>
  <c r="X38" i="43" s="1"/>
  <c r="X21" i="43"/>
  <c r="W42" i="6"/>
  <c r="W36" i="43"/>
  <c r="W38" i="43" s="1"/>
  <c r="Y10" i="43"/>
  <c r="Y53" i="1"/>
  <c r="Y33" i="43"/>
  <c r="Y32" i="43"/>
  <c r="Y35" i="43" s="1"/>
  <c r="U54" i="6"/>
  <c r="U55" i="6" s="1"/>
  <c r="U43" i="6"/>
  <c r="X36" i="43"/>
  <c r="X42" i="6"/>
  <c r="X54" i="6" s="1"/>
  <c r="Y14" i="42"/>
  <c r="Y31" i="42" s="1"/>
  <c r="Y36" i="42"/>
  <c r="Y35" i="1"/>
  <c r="Y50" i="1" s="1"/>
  <c r="Y35" i="6" s="1"/>
  <c r="Y19" i="42"/>
  <c r="W37" i="6"/>
  <c r="W48" i="6"/>
  <c r="W38" i="6"/>
  <c r="X19" i="42"/>
  <c r="X36" i="42"/>
  <c r="X35" i="1"/>
  <c r="X50" i="1" s="1"/>
  <c r="X35" i="6" s="1"/>
  <c r="X14" i="42"/>
  <c r="X31" i="42" s="1"/>
  <c r="W32" i="6"/>
  <c r="W52" i="6"/>
  <c r="X17" i="6"/>
  <c r="X30" i="6" s="1"/>
  <c r="X52" i="6" s="1"/>
  <c r="X55" i="6" s="1"/>
  <c r="X130" i="9"/>
  <c r="P28" i="48"/>
  <c r="Y27" i="27"/>
  <c r="F9" i="27"/>
  <c r="F12" i="27" s="1"/>
  <c r="F28" i="27" s="1"/>
  <c r="F29" i="27" s="1"/>
  <c r="AB47" i="9" l="1"/>
  <c r="AC47" i="9" s="1"/>
  <c r="AC44" i="9"/>
  <c r="AB23" i="6"/>
  <c r="AC86" i="9"/>
  <c r="Z71" i="2"/>
  <c r="Z36" i="2"/>
  <c r="AB7" i="2"/>
  <c r="AB35" i="2" s="1"/>
  <c r="AA35" i="2"/>
  <c r="Z53" i="6"/>
  <c r="Z37" i="6"/>
  <c r="AA113" i="9"/>
  <c r="AA116" i="9" s="1"/>
  <c r="AA27" i="6" s="1"/>
  <c r="AA19" i="1"/>
  <c r="AA55" i="26"/>
  <c r="AA56" i="26" s="1"/>
  <c r="AA53" i="26"/>
  <c r="AB18" i="1"/>
  <c r="AB22" i="26"/>
  <c r="AA92" i="9"/>
  <c r="AA24" i="6" s="1"/>
  <c r="AB89" i="9"/>
  <c r="AA63" i="9"/>
  <c r="AA20" i="6" s="1"/>
  <c r="AB57" i="9"/>
  <c r="AA57" i="9"/>
  <c r="AA19" i="6" s="1"/>
  <c r="X49" i="6"/>
  <c r="Z33" i="43"/>
  <c r="Z35" i="43" s="1"/>
  <c r="Y56" i="1"/>
  <c r="Y41" i="6" s="1"/>
  <c r="Y44" i="6" s="1"/>
  <c r="Z10" i="43"/>
  <c r="AB35" i="9"/>
  <c r="AB37" i="9" s="1"/>
  <c r="AC37" i="9" s="1"/>
  <c r="AA37" i="9"/>
  <c r="Z32" i="9"/>
  <c r="Z50" i="9" s="1"/>
  <c r="Z18" i="6" s="1"/>
  <c r="Z25" i="9"/>
  <c r="Z26" i="9" s="1"/>
  <c r="AB21" i="9"/>
  <c r="AC21" i="9" s="1"/>
  <c r="AA21" i="9"/>
  <c r="Y130" i="9"/>
  <c r="Y17" i="6"/>
  <c r="Y30" i="6" s="1"/>
  <c r="Y52" i="6" s="1"/>
  <c r="Z60" i="10"/>
  <c r="Z62" i="10" s="1"/>
  <c r="AA57" i="10"/>
  <c r="AA37" i="10"/>
  <c r="AA39" i="10" s="1"/>
  <c r="AB32" i="10"/>
  <c r="AB37" i="10" s="1"/>
  <c r="Z14" i="10"/>
  <c r="AA8" i="10"/>
  <c r="E32" i="1"/>
  <c r="E58" i="1" s="1"/>
  <c r="Z27" i="27"/>
  <c r="Y16" i="10"/>
  <c r="Z44" i="6"/>
  <c r="Y13" i="43"/>
  <c r="Y21" i="43"/>
  <c r="Y36" i="43"/>
  <c r="Y42" i="6"/>
  <c r="Y54" i="6" s="1"/>
  <c r="V54" i="6"/>
  <c r="V55" i="6" s="1"/>
  <c r="V43" i="6"/>
  <c r="X43" i="6"/>
  <c r="W54" i="6"/>
  <c r="W55" i="6" s="1"/>
  <c r="W43" i="6"/>
  <c r="X32" i="6"/>
  <c r="Y38" i="6"/>
  <c r="Z38" i="6"/>
  <c r="Y37" i="6"/>
  <c r="Y48" i="6"/>
  <c r="X37" i="6"/>
  <c r="X48" i="6"/>
  <c r="X38" i="6"/>
  <c r="Q19" i="48"/>
  <c r="Q26" i="48" s="1"/>
  <c r="Q22" i="48"/>
  <c r="P29" i="48"/>
  <c r="F18" i="27"/>
  <c r="G7" i="27"/>
  <c r="F7" i="1"/>
  <c r="F11" i="1" s="1"/>
  <c r="E13" i="6"/>
  <c r="E31" i="6"/>
  <c r="E47" i="6"/>
  <c r="E50" i="6" s="1"/>
  <c r="E56" i="6" s="1"/>
  <c r="AB92" i="9" l="1"/>
  <c r="AC89" i="9"/>
  <c r="AB20" i="6"/>
  <c r="AC63" i="9"/>
  <c r="AC16" i="9"/>
  <c r="AC14" i="9"/>
  <c r="AB24" i="6"/>
  <c r="AC92" i="9"/>
  <c r="AA24" i="1"/>
  <c r="AA26" i="1" s="1"/>
  <c r="AA10" i="6" s="1"/>
  <c r="AA36" i="2"/>
  <c r="AA71" i="2"/>
  <c r="AB24" i="1"/>
  <c r="AB26" i="1" s="1"/>
  <c r="AB10" i="6" s="1"/>
  <c r="AB36" i="2"/>
  <c r="AB71" i="2"/>
  <c r="AB19" i="6"/>
  <c r="AC57" i="9"/>
  <c r="AB113" i="9"/>
  <c r="AB116" i="9" s="1"/>
  <c r="AB27" i="6" s="1"/>
  <c r="AB19" i="1"/>
  <c r="AB8" i="6" s="1"/>
  <c r="AB23" i="26"/>
  <c r="AB55" i="26"/>
  <c r="AB56" i="26" s="1"/>
  <c r="AB53" i="26"/>
  <c r="AA8" i="6"/>
  <c r="Y49" i="6"/>
  <c r="Z36" i="43"/>
  <c r="Z42" i="6"/>
  <c r="Y55" i="6"/>
  <c r="Z13" i="43"/>
  <c r="Z38" i="43" s="1"/>
  <c r="Z21" i="43"/>
  <c r="AB32" i="9"/>
  <c r="AB50" i="9" s="1"/>
  <c r="AC50" i="9" s="1"/>
  <c r="AA32" i="9"/>
  <c r="AA50" i="9" s="1"/>
  <c r="AA18" i="6" s="1"/>
  <c r="AB25" i="9"/>
  <c r="AA25" i="9"/>
  <c r="AA26" i="9" s="1"/>
  <c r="AA17" i="6" s="1"/>
  <c r="Z130" i="9"/>
  <c r="Z17" i="6"/>
  <c r="Y32" i="6"/>
  <c r="AB8" i="10"/>
  <c r="AB14" i="10" s="1"/>
  <c r="AA14" i="10"/>
  <c r="AB39" i="10"/>
  <c r="AA60" i="10"/>
  <c r="AA62" i="10" s="1"/>
  <c r="AB57" i="10"/>
  <c r="AB60" i="10" s="1"/>
  <c r="E49" i="8"/>
  <c r="E51" i="8" s="1"/>
  <c r="Y51" i="10"/>
  <c r="Y59" i="6" s="1"/>
  <c r="Z16" i="10"/>
  <c r="Z51" i="10" s="1"/>
  <c r="F19" i="27"/>
  <c r="F21" i="27"/>
  <c r="F12" i="1" s="1"/>
  <c r="F13" i="1" s="1"/>
  <c r="Y38" i="43"/>
  <c r="Y43" i="6"/>
  <c r="Q28" i="48"/>
  <c r="G9" i="27"/>
  <c r="G12" i="27" s="1"/>
  <c r="G28" i="27" s="1"/>
  <c r="G29" i="27" s="1"/>
  <c r="AA30" i="6" l="1"/>
  <c r="AA52" i="6" s="1"/>
  <c r="AA55" i="6" s="1"/>
  <c r="AB26" i="9"/>
  <c r="AC26" i="9" s="1"/>
  <c r="AC25" i="9"/>
  <c r="AA32" i="1"/>
  <c r="AB35" i="17"/>
  <c r="AA12" i="6"/>
  <c r="AA47" i="6" s="1"/>
  <c r="AA50" i="6" s="1"/>
  <c r="AA49" i="8"/>
  <c r="AA58" i="1"/>
  <c r="AB18" i="6"/>
  <c r="AA130" i="9"/>
  <c r="Z43" i="6"/>
  <c r="Z54" i="6"/>
  <c r="Z30" i="6"/>
  <c r="Z52" i="6" s="1"/>
  <c r="Z55" i="6" s="1"/>
  <c r="AA16" i="10"/>
  <c r="AA51" i="10" s="1"/>
  <c r="Z59" i="6" s="1"/>
  <c r="AB62" i="10"/>
  <c r="F7" i="6"/>
  <c r="F12" i="6" s="1"/>
  <c r="F31" i="6" s="1"/>
  <c r="F32" i="1"/>
  <c r="F58" i="1" s="1"/>
  <c r="Q29" i="48"/>
  <c r="R22" i="48"/>
  <c r="R19" i="48"/>
  <c r="R26" i="48" s="1"/>
  <c r="AC26" i="48" s="1"/>
  <c r="G18" i="27"/>
  <c r="H7" i="27"/>
  <c r="G7" i="1"/>
  <c r="G11" i="1" s="1"/>
  <c r="AB130" i="9" l="1"/>
  <c r="AB17" i="6"/>
  <c r="AA56" i="6"/>
  <c r="AA60" i="6" s="1"/>
  <c r="AA51" i="8"/>
  <c r="AA60" i="8"/>
  <c r="AA31" i="6"/>
  <c r="AB30" i="6"/>
  <c r="AB52" i="6" s="1"/>
  <c r="AB55" i="6" s="1"/>
  <c r="AA32" i="6"/>
  <c r="Z32" i="6"/>
  <c r="AB16" i="10"/>
  <c r="AB51" i="10" s="1"/>
  <c r="F49" i="8"/>
  <c r="F51" i="8" s="1"/>
  <c r="F47" i="6"/>
  <c r="F50" i="6" s="1"/>
  <c r="F56" i="6" s="1"/>
  <c r="F13" i="6"/>
  <c r="G19" i="27"/>
  <c r="G21" i="27"/>
  <c r="G12" i="1" s="1"/>
  <c r="G13" i="1" s="1"/>
  <c r="R28" i="48"/>
  <c r="AC22" i="48"/>
  <c r="H9" i="27"/>
  <c r="H12" i="27" s="1"/>
  <c r="H28" i="27" s="1"/>
  <c r="H29" i="27" s="1"/>
  <c r="AB32" i="6" l="1"/>
  <c r="G32" i="1"/>
  <c r="G58" i="1" s="1"/>
  <c r="G7" i="6"/>
  <c r="G12" i="6" s="1"/>
  <c r="G13" i="6" s="1"/>
  <c r="R29" i="48"/>
  <c r="AC29" i="48" s="1"/>
  <c r="S22" i="48"/>
  <c r="S19" i="48"/>
  <c r="AC28" i="48"/>
  <c r="H18" i="27"/>
  <c r="I7" i="27"/>
  <c r="H7" i="1"/>
  <c r="H11" i="1" s="1"/>
  <c r="G49" i="8" l="1"/>
  <c r="G51" i="8" s="1"/>
  <c r="G31" i="6"/>
  <c r="G47" i="6"/>
  <c r="G50" i="6" s="1"/>
  <c r="G56" i="6" s="1"/>
  <c r="H19" i="27"/>
  <c r="H21" i="27"/>
  <c r="H12" i="1" s="1"/>
  <c r="H13" i="1" s="1"/>
  <c r="H32" i="1" s="1"/>
  <c r="S28" i="48"/>
  <c r="T19" i="48" s="1"/>
  <c r="T26" i="48" s="1"/>
  <c r="I9" i="27"/>
  <c r="I12" i="27" s="1"/>
  <c r="I28" i="27" s="1"/>
  <c r="I29" i="27" s="1"/>
  <c r="T22" i="48" l="1"/>
  <c r="T28" i="48" s="1"/>
  <c r="S29" i="48"/>
  <c r="H7" i="6"/>
  <c r="H12" i="6" s="1"/>
  <c r="H47" i="6" s="1"/>
  <c r="H50" i="6" s="1"/>
  <c r="H56" i="6" s="1"/>
  <c r="I18" i="27"/>
  <c r="J7" i="27"/>
  <c r="I7" i="1"/>
  <c r="I11" i="1" s="1"/>
  <c r="H49" i="8"/>
  <c r="H51" i="8" s="1"/>
  <c r="H58" i="1"/>
  <c r="H13" i="6" l="1"/>
  <c r="H31" i="6"/>
  <c r="I19" i="27"/>
  <c r="I21" i="27"/>
  <c r="I12" i="1" s="1"/>
  <c r="I13" i="1" s="1"/>
  <c r="U19" i="48"/>
  <c r="U26" i="48" s="1"/>
  <c r="T29" i="48"/>
  <c r="U22" i="48"/>
  <c r="J9" i="27"/>
  <c r="J12" i="27" s="1"/>
  <c r="J28" i="27" s="1"/>
  <c r="J29" i="27" s="1"/>
  <c r="I32" i="1" l="1"/>
  <c r="I49" i="8" s="1"/>
  <c r="I51" i="8" s="1"/>
  <c r="I7" i="6"/>
  <c r="I12" i="6" s="1"/>
  <c r="I47" i="6" s="1"/>
  <c r="I50" i="6" s="1"/>
  <c r="I56" i="6" s="1"/>
  <c r="U28" i="48"/>
  <c r="J7" i="1"/>
  <c r="J11" i="1" s="1"/>
  <c r="J18" i="27"/>
  <c r="K7" i="27"/>
  <c r="I13" i="6" l="1"/>
  <c r="I31" i="6"/>
  <c r="I58" i="1"/>
  <c r="J19" i="27"/>
  <c r="J21" i="27"/>
  <c r="J12" i="1" s="1"/>
  <c r="J13" i="1" s="1"/>
  <c r="U29" i="48"/>
  <c r="V22" i="48"/>
  <c r="V19" i="48"/>
  <c r="V26" i="48" s="1"/>
  <c r="K9" i="27"/>
  <c r="K12" i="27" s="1"/>
  <c r="K28" i="27" s="1"/>
  <c r="K29" i="27" s="1"/>
  <c r="J32" i="1" l="1"/>
  <c r="J49" i="8" s="1"/>
  <c r="J51" i="8" s="1"/>
  <c r="J7" i="6"/>
  <c r="J12" i="6" s="1"/>
  <c r="J31" i="6" s="1"/>
  <c r="V28" i="48"/>
  <c r="K18" i="27"/>
  <c r="L7" i="27"/>
  <c r="K7" i="1"/>
  <c r="K11" i="1" s="1"/>
  <c r="J58" i="1" l="1"/>
  <c r="J47" i="6"/>
  <c r="J50" i="6" s="1"/>
  <c r="J56" i="6" s="1"/>
  <c r="J13" i="6"/>
  <c r="K19" i="27"/>
  <c r="K21" i="27"/>
  <c r="K12" i="1" s="1"/>
  <c r="K13" i="1" s="1"/>
  <c r="V29" i="48"/>
  <c r="W19" i="48"/>
  <c r="W26" i="48"/>
  <c r="W22" i="48"/>
  <c r="L9" i="27"/>
  <c r="L12" i="27" s="1"/>
  <c r="L28" i="27" s="1"/>
  <c r="L29" i="27" s="1"/>
  <c r="K7" i="6" l="1"/>
  <c r="K12" i="6" s="1"/>
  <c r="K31" i="6" s="1"/>
  <c r="K32" i="1"/>
  <c r="K49" i="8" s="1"/>
  <c r="K51" i="8" s="1"/>
  <c r="W28" i="48"/>
  <c r="W29" i="48" s="1"/>
  <c r="L7" i="1"/>
  <c r="L11" i="1" s="1"/>
  <c r="L18" i="27"/>
  <c r="M7" i="27"/>
  <c r="K13" i="6" l="1"/>
  <c r="K47" i="6"/>
  <c r="K50" i="6" s="1"/>
  <c r="K56" i="6" s="1"/>
  <c r="K58" i="1"/>
  <c r="L19" i="27"/>
  <c r="L21" i="27"/>
  <c r="L12" i="1" s="1"/>
  <c r="L13" i="1" s="1"/>
  <c r="X22" i="48"/>
  <c r="X19" i="48"/>
  <c r="X26" i="48"/>
  <c r="M9" i="27"/>
  <c r="M12" i="27" s="1"/>
  <c r="M28" i="27" s="1"/>
  <c r="M29" i="27" s="1"/>
  <c r="L7" i="6" l="1"/>
  <c r="L12" i="6" s="1"/>
  <c r="L47" i="6" s="1"/>
  <c r="L50" i="6" s="1"/>
  <c r="L56" i="6" s="1"/>
  <c r="L32" i="1"/>
  <c r="L58" i="1" s="1"/>
  <c r="X28" i="48"/>
  <c r="Y22" i="48" s="1"/>
  <c r="N7" i="27"/>
  <c r="M7" i="1"/>
  <c r="M11" i="1" s="1"/>
  <c r="M18" i="27"/>
  <c r="M21" i="27" l="1"/>
  <c r="M12" i="1" s="1"/>
  <c r="M13" i="1" s="1"/>
  <c r="M7" i="6" s="1"/>
  <c r="M12" i="6" s="1"/>
  <c r="L13" i="6"/>
  <c r="L31" i="6"/>
  <c r="L49" i="8"/>
  <c r="L51" i="8" s="1"/>
  <c r="X29" i="48"/>
  <c r="Y19" i="48"/>
  <c r="Y26" i="48" s="1"/>
  <c r="Y28" i="48" s="1"/>
  <c r="Z22" i="48" s="1"/>
  <c r="M19" i="27"/>
  <c r="N9" i="27"/>
  <c r="N12" i="27" s="1"/>
  <c r="N28" i="27" s="1"/>
  <c r="N29" i="27" s="1"/>
  <c r="M32" i="1" l="1"/>
  <c r="M58" i="1" s="1"/>
  <c r="Z19" i="48"/>
  <c r="Z26" i="48" s="1"/>
  <c r="Z28" i="48" s="1"/>
  <c r="Y29" i="48"/>
  <c r="N7" i="1"/>
  <c r="N11" i="1" s="1"/>
  <c r="O7" i="27"/>
  <c r="N18" i="27"/>
  <c r="M13" i="6"/>
  <c r="M47" i="6"/>
  <c r="M50" i="6" s="1"/>
  <c r="M56" i="6" s="1"/>
  <c r="M31" i="6"/>
  <c r="N21" i="27" l="1"/>
  <c r="N12" i="1" s="1"/>
  <c r="N13" i="1" s="1"/>
  <c r="N32" i="1" s="1"/>
  <c r="M49" i="8"/>
  <c r="M51" i="8" s="1"/>
  <c r="Z29" i="48"/>
  <c r="AA19" i="48"/>
  <c r="AA26" i="48" s="1"/>
  <c r="AA22" i="48"/>
  <c r="N19" i="27"/>
  <c r="O9" i="27"/>
  <c r="O12" i="27" s="1"/>
  <c r="O28" i="27" s="1"/>
  <c r="O29" i="27" s="1"/>
  <c r="N7" i="6" l="1"/>
  <c r="N12" i="6" s="1"/>
  <c r="N31" i="6" s="1"/>
  <c r="AA28" i="48"/>
  <c r="AA29" i="48" s="1"/>
  <c r="O7" i="1"/>
  <c r="O11" i="1" s="1"/>
  <c r="P7" i="27"/>
  <c r="O18" i="27"/>
  <c r="N58" i="1"/>
  <c r="N49" i="8"/>
  <c r="N51" i="8" s="1"/>
  <c r="O21" i="27" l="1"/>
  <c r="O12" i="1" s="1"/>
  <c r="N13" i="6"/>
  <c r="N47" i="6"/>
  <c r="N50" i="6" s="1"/>
  <c r="N56" i="6" s="1"/>
  <c r="O13" i="1"/>
  <c r="O32" i="1" s="1"/>
  <c r="O19" i="27"/>
  <c r="P9" i="27"/>
  <c r="P12" i="27" s="1"/>
  <c r="P28" i="27" s="1"/>
  <c r="P29" i="27" s="1"/>
  <c r="O7" i="6" l="1"/>
  <c r="O12" i="6" s="1"/>
  <c r="P18" i="27"/>
  <c r="Q7" i="27"/>
  <c r="P7" i="1"/>
  <c r="P11" i="1" s="1"/>
  <c r="O47" i="6"/>
  <c r="O50" i="6" s="1"/>
  <c r="O56" i="6" s="1"/>
  <c r="O13" i="6"/>
  <c r="O31" i="6"/>
  <c r="O58" i="1"/>
  <c r="O49" i="8"/>
  <c r="O51" i="8" s="1"/>
  <c r="P21" i="27" l="1"/>
  <c r="P12" i="1" s="1"/>
  <c r="P13" i="1" s="1"/>
  <c r="P32" i="1" s="1"/>
  <c r="Q9" i="27"/>
  <c r="Q12" i="27" s="1"/>
  <c r="Q28" i="27" s="1"/>
  <c r="Q29" i="27" s="1"/>
  <c r="P19" i="27"/>
  <c r="P7" i="6" l="1"/>
  <c r="P12" i="6" s="1"/>
  <c r="P31" i="6" s="1"/>
  <c r="Q7" i="1"/>
  <c r="Q11" i="1" s="1"/>
  <c r="R7" i="27"/>
  <c r="Q18" i="27"/>
  <c r="P49" i="8"/>
  <c r="P51" i="8" s="1"/>
  <c r="P58" i="1"/>
  <c r="Q21" i="27" l="1"/>
  <c r="Q12" i="1" s="1"/>
  <c r="P13" i="6"/>
  <c r="P47" i="6"/>
  <c r="P50" i="6" s="1"/>
  <c r="P56" i="6" s="1"/>
  <c r="P60" i="6" s="1"/>
  <c r="Q13" i="1"/>
  <c r="Q32" i="1" s="1"/>
  <c r="Q19" i="27"/>
  <c r="R9" i="27"/>
  <c r="R12" i="27" s="1"/>
  <c r="R28" i="27" s="1"/>
  <c r="R29" i="27" s="1"/>
  <c r="R35" i="17"/>
  <c r="Q7" i="6" l="1"/>
  <c r="Q12" i="6" s="1"/>
  <c r="Q47" i="6" s="1"/>
  <c r="Q50" i="6" s="1"/>
  <c r="Q56" i="6" s="1"/>
  <c r="Q60" i="6" s="1"/>
  <c r="S7" i="27"/>
  <c r="R7" i="1"/>
  <c r="R11" i="1" s="1"/>
  <c r="R18" i="27"/>
  <c r="AD12" i="27"/>
  <c r="AB11" i="1" s="1"/>
  <c r="AB13" i="1" s="1"/>
  <c r="Q58" i="1"/>
  <c r="Q49" i="8"/>
  <c r="Q51" i="8" s="1"/>
  <c r="AB7" i="6" l="1"/>
  <c r="AB12" i="6" s="1"/>
  <c r="AB32" i="1"/>
  <c r="R21" i="27"/>
  <c r="R12" i="1" s="1"/>
  <c r="R13" i="1" s="1"/>
  <c r="R7" i="6" s="1"/>
  <c r="R12" i="6" s="1"/>
  <c r="AD18" i="27"/>
  <c r="Q31" i="6"/>
  <c r="Q13" i="6"/>
  <c r="R19" i="27"/>
  <c r="S9" i="27"/>
  <c r="S12" i="27" s="1"/>
  <c r="S28" i="27" s="1"/>
  <c r="S29" i="27" s="1"/>
  <c r="AB58" i="1" l="1"/>
  <c r="AB49" i="8"/>
  <c r="AB47" i="6"/>
  <c r="AB50" i="6" s="1"/>
  <c r="AB56" i="6" s="1"/>
  <c r="AB60" i="6" s="1"/>
  <c r="AB13" i="6"/>
  <c r="AB31" i="6"/>
  <c r="R32" i="1"/>
  <c r="R58" i="1" s="1"/>
  <c r="R61" i="1" s="1"/>
  <c r="S35" i="17"/>
  <c r="T7" i="27"/>
  <c r="S18" i="27"/>
  <c r="S7" i="1"/>
  <c r="S11" i="1" s="1"/>
  <c r="R13" i="6"/>
  <c r="R47" i="6"/>
  <c r="R50" i="6" s="1"/>
  <c r="R56" i="6" s="1"/>
  <c r="R60" i="6" s="1"/>
  <c r="R31" i="6"/>
  <c r="AB60" i="8" l="1"/>
  <c r="AB51" i="8"/>
  <c r="R49" i="8"/>
  <c r="R51" i="8" s="1"/>
  <c r="S19" i="27"/>
  <c r="S21" i="27"/>
  <c r="S12" i="1" s="1"/>
  <c r="S13" i="1" s="1"/>
  <c r="T9" i="27"/>
  <c r="T12" i="27" s="1"/>
  <c r="T28" i="27" s="1"/>
  <c r="T29" i="27" s="1"/>
  <c r="R60" i="8" l="1"/>
  <c r="S7" i="6"/>
  <c r="S12" i="6" s="1"/>
  <c r="S31" i="6" s="1"/>
  <c r="T35" i="17"/>
  <c r="S32" i="1"/>
  <c r="S49" i="8" s="1"/>
  <c r="T7" i="1"/>
  <c r="T11" i="1" s="1"/>
  <c r="T18" i="27"/>
  <c r="U7" i="27"/>
  <c r="S13" i="6" l="1"/>
  <c r="S47" i="6"/>
  <c r="S50" i="6" s="1"/>
  <c r="S56" i="6" s="1"/>
  <c r="S60" i="6" s="1"/>
  <c r="S58" i="1"/>
  <c r="S61" i="1" s="1"/>
  <c r="T19" i="27"/>
  <c r="T21" i="27"/>
  <c r="T12" i="1" s="1"/>
  <c r="T13" i="1" s="1"/>
  <c r="S51" i="8"/>
  <c r="S60" i="8"/>
  <c r="U9" i="27"/>
  <c r="U12" i="27" s="1"/>
  <c r="U28" i="27" s="1"/>
  <c r="U29" i="27" s="1"/>
  <c r="T32" i="1" l="1"/>
  <c r="T49" i="8" s="1"/>
  <c r="T7" i="6"/>
  <c r="T12" i="6" s="1"/>
  <c r="T31" i="6" s="1"/>
  <c r="U35" i="17"/>
  <c r="U18" i="27"/>
  <c r="U7" i="1"/>
  <c r="U11" i="1" s="1"/>
  <c r="V7" i="27"/>
  <c r="U19" i="27" l="1"/>
  <c r="U21" i="27"/>
  <c r="U12" i="1" s="1"/>
  <c r="U13" i="1" s="1"/>
  <c r="T58" i="1"/>
  <c r="T61" i="1" s="1"/>
  <c r="T13" i="6"/>
  <c r="T47" i="6"/>
  <c r="T50" i="6" s="1"/>
  <c r="T56" i="6" s="1"/>
  <c r="T60" i="6" s="1"/>
  <c r="T51" i="8"/>
  <c r="T60" i="8"/>
  <c r="V9" i="27"/>
  <c r="V12" i="27" s="1"/>
  <c r="V28" i="27" s="1"/>
  <c r="V29" i="27" s="1"/>
  <c r="U32" i="1" l="1"/>
  <c r="U49" i="8" s="1"/>
  <c r="V35" i="17"/>
  <c r="U7" i="6"/>
  <c r="U12" i="6" s="1"/>
  <c r="U47" i="6" s="1"/>
  <c r="U50" i="6" s="1"/>
  <c r="U56" i="6" s="1"/>
  <c r="U60" i="6" s="1"/>
  <c r="W7" i="27"/>
  <c r="V7" i="1"/>
  <c r="V11" i="1" s="1"/>
  <c r="V18" i="27"/>
  <c r="U58" i="1" l="1"/>
  <c r="U61" i="1" s="1"/>
  <c r="U31" i="6"/>
  <c r="U13" i="6"/>
  <c r="V19" i="27"/>
  <c r="V21" i="27"/>
  <c r="V12" i="1" s="1"/>
  <c r="V13" i="1" s="1"/>
  <c r="W9" i="27"/>
  <c r="W12" i="27" s="1"/>
  <c r="W28" i="27" s="1"/>
  <c r="W29" i="27" s="1"/>
  <c r="U51" i="8"/>
  <c r="U60" i="8"/>
  <c r="V32" i="1" l="1"/>
  <c r="V58" i="1" s="1"/>
  <c r="V61" i="1" s="1"/>
  <c r="V7" i="6"/>
  <c r="V12" i="6" s="1"/>
  <c r="V13" i="6" s="1"/>
  <c r="W35" i="17"/>
  <c r="X7" i="27"/>
  <c r="W7" i="1"/>
  <c r="W11" i="1" s="1"/>
  <c r="W13" i="1" s="1"/>
  <c r="W18" i="27"/>
  <c r="W19" i="27" s="1"/>
  <c r="V49" i="8" l="1"/>
  <c r="V51" i="8" s="1"/>
  <c r="V31" i="6"/>
  <c r="V47" i="6"/>
  <c r="V50" i="6" s="1"/>
  <c r="V56" i="6" s="1"/>
  <c r="V60" i="6" s="1"/>
  <c r="X35" i="17"/>
  <c r="W32" i="1"/>
  <c r="W7" i="6"/>
  <c r="W12" i="6" s="1"/>
  <c r="X9" i="27"/>
  <c r="X12" i="27" s="1"/>
  <c r="X28" i="27" s="1"/>
  <c r="X29" i="27" s="1"/>
  <c r="V60" i="8" l="1"/>
  <c r="W58" i="1"/>
  <c r="W49" i="8"/>
  <c r="X7" i="1"/>
  <c r="X11" i="1" s="1"/>
  <c r="X13" i="1" s="1"/>
  <c r="Y7" i="27"/>
  <c r="X18" i="27"/>
  <c r="X19" i="27" s="1"/>
  <c r="W31" i="6"/>
  <c r="W47" i="6"/>
  <c r="W50" i="6" s="1"/>
  <c r="W56" i="6" s="1"/>
  <c r="W60" i="6" s="1"/>
  <c r="W13" i="6"/>
  <c r="W51" i="8" l="1"/>
  <c r="W60" i="8"/>
  <c r="Y9" i="27"/>
  <c r="Y12" i="27" s="1"/>
  <c r="X7" i="6"/>
  <c r="X12" i="6" s="1"/>
  <c r="Y35" i="17"/>
  <c r="X32" i="1"/>
  <c r="X58" i="1" l="1"/>
  <c r="X49" i="8"/>
  <c r="Z7" i="27"/>
  <c r="Z9" i="27" s="1"/>
  <c r="Z12" i="27" s="1"/>
  <c r="Z7" i="1" s="1"/>
  <c r="Z11" i="1" s="1"/>
  <c r="Z13" i="1" s="1"/>
  <c r="AA35" i="17" s="1"/>
  <c r="Y28" i="27"/>
  <c r="Y29" i="27" s="1"/>
  <c r="Y7" i="1"/>
  <c r="Y11" i="1" s="1"/>
  <c r="Y13" i="1" s="1"/>
  <c r="Z35" i="17" s="1"/>
  <c r="Y18" i="27"/>
  <c r="X13" i="6"/>
  <c r="X47" i="6"/>
  <c r="X50" i="6" s="1"/>
  <c r="X56" i="6" s="1"/>
  <c r="X60" i="6" s="1"/>
  <c r="X31" i="6"/>
  <c r="Z7" i="6" l="1"/>
  <c r="Z12" i="6" s="1"/>
  <c r="Z32" i="1"/>
  <c r="X60" i="8"/>
  <c r="X51" i="8"/>
  <c r="Z18" i="27"/>
  <c r="Z28" i="27"/>
  <c r="Z29" i="27" s="1"/>
  <c r="Y19" i="27"/>
  <c r="Y7" i="6"/>
  <c r="Y12" i="6" s="1"/>
  <c r="Y32" i="1"/>
  <c r="Z19" i="27" l="1"/>
  <c r="AA19" i="27"/>
  <c r="Z58" i="1"/>
  <c r="Z49" i="8"/>
  <c r="Z47" i="6"/>
  <c r="Z50" i="6" s="1"/>
  <c r="Z56" i="6" s="1"/>
  <c r="Z60" i="6" s="1"/>
  <c r="AA13" i="6"/>
  <c r="Z31" i="6"/>
  <c r="Y58" i="1"/>
  <c r="Y49" i="8"/>
  <c r="Y47" i="6"/>
  <c r="Y50" i="6" s="1"/>
  <c r="Y56" i="6" s="1"/>
  <c r="Y60" i="6" s="1"/>
  <c r="Y31" i="6"/>
  <c r="Z13" i="6"/>
  <c r="Y13" i="6"/>
  <c r="AC31" i="6" l="1"/>
  <c r="Z51" i="8"/>
  <c r="Z60" i="8"/>
  <c r="Y60" i="8"/>
  <c r="Y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Ordway, Melinda J. (DOR)</author>
  </authors>
  <commentList>
    <comment ref="S26" authorId="0" shapeId="0" xr:uid="{7E45085C-AE26-415D-B024-71474153C61D}">
      <text>
        <r>
          <rPr>
            <sz val="9"/>
            <color indexed="81"/>
            <rFont val="Tahoma"/>
            <family val="2"/>
          </rPr>
          <t>Minimum Aid not funded in FY2021</t>
        </r>
      </text>
    </comment>
  </commentList>
</comments>
</file>

<file path=xl/sharedStrings.xml><?xml version="1.0" encoding="utf-8"?>
<sst xmlns="http://schemas.openxmlformats.org/spreadsheetml/2006/main" count="3402" uniqueCount="1032">
  <si>
    <t>REVENUES:</t>
  </si>
  <si>
    <t>Levy</t>
  </si>
  <si>
    <t>·  Conservative new growth estimates. New growth projections provided by the assessing director and community &amp; economic development director. Assume no additional debt exclusions and lapse of additional equipment exclusions. Assume level 'new growth' and increase in stabilization fund override of 3% YOY.</t>
  </si>
  <si>
    <t>SAMPLE - Update with actual community information</t>
  </si>
  <si>
    <t>·  Levy to the maximum allowable amount</t>
  </si>
  <si>
    <t>State Aid</t>
  </si>
  <si>
    <t>·  Chapter 70: Calculated based on:</t>
  </si>
  <si>
    <t>o Total foundation budget and  foundation enrollment remain level</t>
  </si>
  <si>
    <t>o Chapter 70 aid increases are projected at $30 per pupil based on local enrollment</t>
  </si>
  <si>
    <t>·  UGGA is level funded</t>
  </si>
  <si>
    <t>·  Due to the funding formula, Charter Reimbursement is reduced 10% annually.</t>
  </si>
  <si>
    <t>·  Other local aid accounts are level funded</t>
  </si>
  <si>
    <t>Local Receipts</t>
  </si>
  <si>
    <t>·  Conservative projections, 1%</t>
  </si>
  <si>
    <t>Offset Receipts</t>
  </si>
  <si>
    <t>·  Conservative projections, level funded</t>
  </si>
  <si>
    <t>Available Funds/ Other Financing Resources</t>
  </si>
  <si>
    <t>·  Free cash certifications are not projected</t>
  </si>
  <si>
    <t>·  Stabilization funds show available balances as calculated on activity through June 2019 less appropriations made to date and investment income on the balance is projected at a rate of 1.0% (based on the current bank account interest figure provided by the treasurer).</t>
  </si>
  <si>
    <t>·  For appropriations (not line item transfers) made in current fiscal year but reported on the subsequent fiscal year recap, the offsetting funding sources are entered.</t>
  </si>
  <si>
    <t>·  Overlay surplus is not projected</t>
  </si>
  <si>
    <t>Enterprise Receipts</t>
  </si>
  <si>
    <t>·  Revenues are set equal to annual budget amounts</t>
  </si>
  <si>
    <t>Community Preservation Revenues</t>
  </si>
  <si>
    <t>·  Conservative local surcharge projections, level funded</t>
  </si>
  <si>
    <t>·  Conservative state trust fund distribution projections, declining 5% annually based on experience</t>
  </si>
  <si>
    <t>EXPENDITURES:</t>
  </si>
  <si>
    <t>Personal Services</t>
  </si>
  <si>
    <t>·  Collective bargaining agreements future steps and other personal service increases (e.g., education, uniforms and other stipends), where applicable, are included.</t>
  </si>
  <si>
    <t>·  Non union and elected officials are subject to annual legislative vote and are level funded at current budgeted figures.</t>
  </si>
  <si>
    <t>·  Longevity  projections are based on current collective bargaining agreements/years of service and not included in the COLA table though will have additional financial impact as new agreements are approved.</t>
  </si>
  <si>
    <t>·  Future COLA increases are included at 2% for impact</t>
  </si>
  <si>
    <t>Expenses</t>
  </si>
  <si>
    <t>·  Expenses are projected to increase 2% annually</t>
  </si>
  <si>
    <t>·  Exceptions include:</t>
  </si>
  <si>
    <t>o Solid waste costs are projected at 10% each year.</t>
  </si>
  <si>
    <t>o Snow &amp; ice budget has been increased based on review of expenditures (see spreadsheet).</t>
  </si>
  <si>
    <t>·  Finance Committee's reserve fund is level funded each year.</t>
  </si>
  <si>
    <t>Education</t>
  </si>
  <si>
    <t>·  Local school appropriation projected to increase 2% annually</t>
  </si>
  <si>
    <t>·  Annually, regional school district is projected to increase 2%</t>
  </si>
  <si>
    <t>Debt Service</t>
  </si>
  <si>
    <t>·  Based on existing payment schedules provided</t>
  </si>
  <si>
    <t>Capital Plan</t>
  </si>
  <si>
    <t>·   A worksheet is provided but the projected amounts need to be entered.</t>
  </si>
  <si>
    <t>Risk Management</t>
  </si>
  <si>
    <t>·  Comprehensive insurance is forecasted to increase 5% each year</t>
  </si>
  <si>
    <t>·  Unemployment compensation is level funded at $50,000 for each year.</t>
  </si>
  <si>
    <t>·  Workers’ compensation is forecasted to increase 5% each year</t>
  </si>
  <si>
    <t>Employee Benefits</t>
  </si>
  <si>
    <t>·  Health is projected to increase 8% annually</t>
  </si>
  <si>
    <t>·  Life insurance is projected to increase 5% annually</t>
  </si>
  <si>
    <t>·  Medicare is projected to increase 3% annually and needs to be updated with any personal service cost changes.</t>
  </si>
  <si>
    <t>·  Retirement is projected to increase 5% annually.</t>
  </si>
  <si>
    <t>State Assessments</t>
  </si>
  <si>
    <t xml:space="preserve">·  School Choice Sending assessment is projected to increase 10% annually </t>
  </si>
  <si>
    <t xml:space="preserve">·  School Charter is projected to increase 15% annually </t>
  </si>
  <si>
    <t>·  RMV non-renewal surcharge and Special Education are level funded.</t>
  </si>
  <si>
    <t>·  All other assessments are projected to increase 2.5% annually.</t>
  </si>
  <si>
    <t>Miscellaneous</t>
  </si>
  <si>
    <t>·  There are not miscellaneous amounts projected at this time.</t>
  </si>
  <si>
    <t>Other Amounts to be raised</t>
  </si>
  <si>
    <t>·  Cherry sheet offsets expenses are equal to the estimated revenues</t>
  </si>
  <si>
    <t>·  Overlay is forecast to increase 2.5% annually</t>
  </si>
  <si>
    <t>Other Financing Uses</t>
  </si>
  <si>
    <t>·  Appropriations (not line item transfers) made in current fiscal year but reported on the subsequent fiscal year recap.</t>
  </si>
  <si>
    <t>·  There are no regular transfers to the OPEB fund</t>
  </si>
  <si>
    <t>·  There are no regular transfers to the stabilization fund</t>
  </si>
  <si>
    <t>Enterprise Funds</t>
  </si>
  <si>
    <t>·  Includes direct personal services, expenses, indirect, and capital expenses</t>
  </si>
  <si>
    <t>Community Preservation Fund</t>
  </si>
  <si>
    <t>·  Three statutory reserves are each budgeted at the required 10% of projected surcharge and state match revenues</t>
  </si>
  <si>
    <t>·  Administrative expenses are budgeted at 5% of projected surcharge and state match revenues</t>
  </si>
  <si>
    <t xml:space="preserve">·  Undesignated reserve set equal to total projected revenues net of statutory reserves and administrative expenses </t>
  </si>
  <si>
    <t>Change Log</t>
  </si>
  <si>
    <t>Date</t>
  </si>
  <si>
    <t>Worksheet</t>
  </si>
  <si>
    <t>Explanation</t>
  </si>
  <si>
    <t>User</t>
  </si>
  <si>
    <t>All changes should be logged by date, worksheet, and user along with a brief explanation</t>
  </si>
  <si>
    <t>Municipality of Berkley</t>
  </si>
  <si>
    <t>Summary of Projected Revenues and Expenditures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</si>
  <si>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</si>
  <si>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</si>
  <si>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</si>
  <si>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</si>
  <si>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</si>
  <si>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</si>
  <si>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</si>
  <si>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</si>
  <si>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</si>
  <si>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</si>
  <si>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</si>
  <si>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</si>
  <si>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</si>
  <si>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</si>
  <si>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</si>
  <si>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</si>
  <si>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</si>
  <si>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</si>
  <si>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</si>
  <si>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</si>
  <si>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</si>
  <si>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</si>
  <si>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</si>
  <si>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</si>
  <si>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</si>
  <si>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</si>
  <si>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General Fund</t>
  </si>
  <si>
    <t>Revenues</t>
  </si>
  <si>
    <t>Property Tax Levy</t>
  </si>
  <si>
    <t>Other than the community name in cell B1, there is no direct input on this worksheet.</t>
  </si>
  <si>
    <t>State Aid Cherry Sheet</t>
  </si>
  <si>
    <t>MSBA School Construction</t>
  </si>
  <si>
    <t>Estimated Local &amp; Offset Receipts</t>
  </si>
  <si>
    <t>Available Funds/Other Financing Sources</t>
  </si>
  <si>
    <t>Total General Fund Revenues</t>
  </si>
  <si>
    <t>Total Revenue Percentage Change</t>
  </si>
  <si>
    <t>Expenditures</t>
  </si>
  <si>
    <t>General Government</t>
  </si>
  <si>
    <t>Public Safety</t>
  </si>
  <si>
    <t>Public Works</t>
  </si>
  <si>
    <t>Health &amp; Human Services</t>
  </si>
  <si>
    <t>Culture &amp; Recreation</t>
  </si>
  <si>
    <t>Reserves and Miscellaneous</t>
  </si>
  <si>
    <t>Other Amounts Raised</t>
  </si>
  <si>
    <t>Offset for Enterprise Indirect Costs</t>
  </si>
  <si>
    <t>Total General Fund Expenditures</t>
  </si>
  <si>
    <t>Balance to FY2032</t>
  </si>
  <si>
    <r>
      <t>General Fund Surplus/</t>
    </r>
    <r>
      <rPr>
        <b/>
        <sz val="9"/>
        <color rgb="FFFF0000"/>
        <rFont val="Calibri"/>
        <family val="2"/>
        <scheme val="minor"/>
      </rPr>
      <t>(Shortfall)</t>
    </r>
  </si>
  <si>
    <t>Total Expenditures Percentage Change</t>
  </si>
  <si>
    <t>Enterprise Funds: Revenues</t>
  </si>
  <si>
    <t>Enterprise Funds: Expenditures</t>
  </si>
  <si>
    <r>
      <t>Enterprise Surplus/</t>
    </r>
    <r>
      <rPr>
        <b/>
        <sz val="9"/>
        <color rgb="FFFF0000"/>
        <rFont val="Calibri"/>
        <family val="2"/>
        <scheme val="minor"/>
      </rPr>
      <t>(Shortfall)</t>
    </r>
  </si>
  <si>
    <t>Total Enterprise Percentage Change</t>
  </si>
  <si>
    <t>Community Preservation</t>
  </si>
  <si>
    <t xml:space="preserve">Community Pres Funds: Revenues </t>
  </si>
  <si>
    <t>Community Pres Funds: Expenditures</t>
  </si>
  <si>
    <r>
      <t>CPA Surplus/</t>
    </r>
    <r>
      <rPr>
        <b/>
        <sz val="9"/>
        <color rgb="FFFF0000"/>
        <rFont val="Calibri"/>
        <family val="2"/>
        <scheme val="minor"/>
      </rPr>
      <t>(Shortfall)</t>
    </r>
  </si>
  <si>
    <t>Total Community Preservation Percentage Change</t>
  </si>
  <si>
    <t>GRAND TOTAL - All Funds</t>
  </si>
  <si>
    <t>Enterprise</t>
  </si>
  <si>
    <t>①</t>
  </si>
  <si>
    <t>REVENUES Grand Total</t>
  </si>
  <si>
    <t>EXPENDITURES Grand Total</t>
  </si>
  <si>
    <r>
      <t>Total Surplus/</t>
    </r>
    <r>
      <rPr>
        <b/>
        <sz val="9"/>
        <color rgb="FFFF0000"/>
        <rFont val="Calibri"/>
        <family val="2"/>
        <scheme val="minor"/>
      </rPr>
      <t>(Shortfall)</t>
    </r>
  </si>
  <si>
    <t>COLA Impact</t>
  </si>
  <si>
    <t>Financial Impact of GF COLA Increase</t>
  </si>
  <si>
    <r>
      <t>Total Surplus/</t>
    </r>
    <r>
      <rPr>
        <b/>
        <sz val="9"/>
        <color rgb="FFFF0000"/>
        <rFont val="Calibri"/>
        <family val="2"/>
        <scheme val="minor"/>
      </rPr>
      <t>(Shortfall)</t>
    </r>
    <r>
      <rPr>
        <b/>
        <sz val="9"/>
        <rFont val="Calibri"/>
        <family val="2"/>
        <scheme val="minor"/>
      </rPr>
      <t xml:space="preserve"> after COLA </t>
    </r>
  </si>
  <si>
    <t>Balance</t>
  </si>
  <si>
    <t>Fiscal Year-End Balances</t>
  </si>
  <si>
    <t>General Stabilization</t>
  </si>
  <si>
    <t>General Stabilization as a Percentage of GF Budget (Revenues from Available Funds tab)</t>
  </si>
  <si>
    <t>OPEB</t>
  </si>
  <si>
    <t>Budget year revenue and expenditures for all funds equals the approved tax recap.</t>
  </si>
  <si>
    <t>DLS Gateway, Tax Rate, Page 2 (II.e. and IV. a.)</t>
  </si>
  <si>
    <t>Revenue Projections</t>
  </si>
  <si>
    <t>Projection</t>
  </si>
  <si>
    <t>Budget</t>
  </si>
  <si>
    <t>Projected</t>
  </si>
  <si>
    <t>Percent</t>
  </si>
  <si>
    <t>PROPERTY TAX LEVY</t>
  </si>
  <si>
    <t>Levy Limit</t>
  </si>
  <si>
    <t>See Tax Levy</t>
  </si>
  <si>
    <r>
      <t xml:space="preserve">All cells linked from </t>
    </r>
    <r>
      <rPr>
        <i/>
        <sz val="9"/>
        <rFont val="Calibri"/>
        <family val="2"/>
        <scheme val="minor"/>
      </rPr>
      <t>Levy</t>
    </r>
    <r>
      <rPr>
        <sz val="9"/>
        <rFont val="Calibri"/>
        <family val="2"/>
        <scheme val="minor"/>
      </rPr>
      <t xml:space="preserve"> worksheet</t>
    </r>
  </si>
  <si>
    <t>Debt Exclusion(s)</t>
  </si>
  <si>
    <t>Capital Expenditure Exclusion(s)</t>
  </si>
  <si>
    <t>All Other Adjustment</t>
  </si>
  <si>
    <t>Maximum Allowable Levy</t>
  </si>
  <si>
    <t>LESS Excess Tax Levy Capacity</t>
  </si>
  <si>
    <t>TOTAL Tax Levy</t>
  </si>
  <si>
    <t>Calculated field</t>
  </si>
  <si>
    <t>STATE AID CHERRY SHEET</t>
  </si>
  <si>
    <t>Education Aid</t>
  </si>
  <si>
    <t>See State Aid</t>
  </si>
  <si>
    <r>
      <t xml:space="preserve">All cells linked from </t>
    </r>
    <r>
      <rPr>
        <i/>
        <sz val="9"/>
        <rFont val="Calibri"/>
        <family val="2"/>
        <scheme val="minor"/>
      </rPr>
      <t>State Aid</t>
    </r>
    <r>
      <rPr>
        <sz val="9"/>
        <rFont val="Calibri"/>
        <family val="2"/>
        <scheme val="minor"/>
      </rPr>
      <t xml:space="preserve"> worksheet</t>
    </r>
  </si>
  <si>
    <t>General Government Aid</t>
  </si>
  <si>
    <t>Offsets</t>
  </si>
  <si>
    <t>TOTAL Cherry Sheet</t>
  </si>
  <si>
    <r>
      <t xml:space="preserve">Cells linked from </t>
    </r>
    <r>
      <rPr>
        <i/>
        <sz val="9"/>
        <rFont val="Calibri"/>
        <family val="2"/>
        <scheme val="minor"/>
      </rPr>
      <t>State Aid</t>
    </r>
    <r>
      <rPr>
        <sz val="9"/>
        <rFont val="Calibri"/>
        <family val="2"/>
        <scheme val="minor"/>
      </rPr>
      <t xml:space="preserve"> worksheet</t>
    </r>
  </si>
  <si>
    <t>ESTIMATED LOCAL and OFFSET RECEIPTS</t>
  </si>
  <si>
    <t>Estimated Receipts</t>
  </si>
  <si>
    <t>See Local Receipts</t>
  </si>
  <si>
    <t>See Offset Receipts</t>
  </si>
  <si>
    <t>TOTAL Estimated Local and Offset Receipts</t>
  </si>
  <si>
    <r>
      <t xml:space="preserve">All cells linked from </t>
    </r>
    <r>
      <rPr>
        <i/>
        <sz val="9"/>
        <rFont val="Calibri"/>
        <family val="2"/>
        <scheme val="minor"/>
      </rPr>
      <t>Local Receipts and Offset</t>
    </r>
    <r>
      <rPr>
        <sz val="9"/>
        <rFont val="Calibri"/>
        <family val="2"/>
        <scheme val="minor"/>
      </rPr>
      <t xml:space="preserve"> worksheet</t>
    </r>
  </si>
  <si>
    <t>AVAILABLE FUNDS/OTHER FINANCING</t>
  </si>
  <si>
    <t>Free Cash</t>
  </si>
  <si>
    <t>See Available Funds</t>
  </si>
  <si>
    <r>
      <t xml:space="preserve">All cells linked from </t>
    </r>
    <r>
      <rPr>
        <i/>
        <sz val="9"/>
        <rFont val="Calibri"/>
        <family val="2"/>
        <scheme val="minor"/>
      </rPr>
      <t>Available Funds</t>
    </r>
    <r>
      <rPr>
        <sz val="9"/>
        <rFont val="Calibri"/>
        <family val="2"/>
        <scheme val="minor"/>
      </rPr>
      <t xml:space="preserve"> worksheet</t>
    </r>
  </si>
  <si>
    <t>Other Available Funds</t>
  </si>
  <si>
    <t>TOTAL Available Funds</t>
  </si>
  <si>
    <t>TOTAL General Fund Revenues</t>
  </si>
  <si>
    <t xml:space="preserve">ENTERPRISE FUNDS </t>
  </si>
  <si>
    <t>______ Fund</t>
  </si>
  <si>
    <t>See Enterprise Funds</t>
  </si>
  <si>
    <r>
      <t xml:space="preserve">All cells linked from </t>
    </r>
    <r>
      <rPr>
        <i/>
        <sz val="9"/>
        <rFont val="Calibri"/>
        <family val="2"/>
        <scheme val="minor"/>
      </rPr>
      <t>Enterprise Funds</t>
    </r>
    <r>
      <rPr>
        <sz val="9"/>
        <rFont val="Calibri"/>
        <family val="2"/>
        <scheme val="minor"/>
      </rPr>
      <t xml:space="preserve"> worksheet</t>
    </r>
  </si>
  <si>
    <t>_____ Retained Earnings</t>
  </si>
  <si>
    <t>TOTAL Enterprise Funds</t>
  </si>
  <si>
    <t>CPA FUNDS</t>
  </si>
  <si>
    <t>Surcharge</t>
  </si>
  <si>
    <t>See CPF</t>
  </si>
  <si>
    <r>
      <t xml:space="preserve">All cells linked from </t>
    </r>
    <r>
      <rPr>
        <i/>
        <sz val="9"/>
        <rFont val="Calibri"/>
        <family val="2"/>
        <scheme val="minor"/>
      </rPr>
      <t>CPF</t>
    </r>
    <r>
      <rPr>
        <sz val="9"/>
        <rFont val="Calibri"/>
        <family val="2"/>
        <scheme val="minor"/>
      </rPr>
      <t xml:space="preserve"> worksheet</t>
    </r>
  </si>
  <si>
    <t>State Match</t>
  </si>
  <si>
    <t>TOTAL CPA Funds</t>
  </si>
  <si>
    <t xml:space="preserve">GRAND TOTAL REVENUES </t>
  </si>
  <si>
    <t xml:space="preserve"> </t>
  </si>
  <si>
    <t>Tax Recap Total</t>
  </si>
  <si>
    <t>Enter from Tax Recap Page 2, VI. a.</t>
  </si>
  <si>
    <t>Difference</t>
  </si>
  <si>
    <t>DLS Gateway, Tax Rate, Page 1 (Ia)</t>
  </si>
  <si>
    <t>Tax Levy Limit / Excess Capacity / New Growth / Overlay Reserve</t>
  </si>
  <si>
    <t>Average</t>
  </si>
  <si>
    <t>% Change</t>
  </si>
  <si>
    <t>LEVY LIMIT</t>
  </si>
  <si>
    <t>Prior Year Tax Levy Limit</t>
  </si>
  <si>
    <t>Filled from prior year line 12</t>
  </si>
  <si>
    <t>②</t>
  </si>
  <si>
    <t>Amended Prior Growth</t>
  </si>
  <si>
    <t>Enter as required</t>
  </si>
  <si>
    <t>③</t>
  </si>
  <si>
    <t>Proposition 2.5% Increase</t>
  </si>
  <si>
    <t>④</t>
  </si>
  <si>
    <t>New Growth</t>
  </si>
  <si>
    <t>assume 0%</t>
  </si>
  <si>
    <t>Filled from line 35</t>
  </si>
  <si>
    <t>⑤</t>
  </si>
  <si>
    <t>Override</t>
  </si>
  <si>
    <t>SUB-TOTAL Levy Limit</t>
  </si>
  <si>
    <t>⑥</t>
  </si>
  <si>
    <t xml:space="preserve">Debt Exclusion(s) </t>
  </si>
  <si>
    <t>Filled from line 42</t>
  </si>
  <si>
    <t>⑦</t>
  </si>
  <si>
    <t>Capital Exclusion(s)</t>
  </si>
  <si>
    <t>Stabilization Fund Override</t>
  </si>
  <si>
    <t>assume 3%</t>
  </si>
  <si>
    <t>Other Adjustment</t>
  </si>
  <si>
    <t>Water/Sewer</t>
  </si>
  <si>
    <t>⑧</t>
  </si>
  <si>
    <t>TOTAL Maximum Allowable Tax Levy</t>
  </si>
  <si>
    <t>Year-to-year percentage change</t>
  </si>
  <si>
    <t>⑨</t>
  </si>
  <si>
    <t>Excess Levy Capacity</t>
  </si>
  <si>
    <t>⑩</t>
  </si>
  <si>
    <t>TOTAL Levy  (Approved by DLS)</t>
  </si>
  <si>
    <t>Enter from tax recap (page 1)</t>
  </si>
  <si>
    <t>LEVY CEILING</t>
  </si>
  <si>
    <t>⑪</t>
  </si>
  <si>
    <t>Total Taxable Property Value</t>
  </si>
  <si>
    <t>⑫</t>
  </si>
  <si>
    <t>Levy Ceiling</t>
  </si>
  <si>
    <t>Override Capacity</t>
  </si>
  <si>
    <r>
      <t xml:space="preserve">If Override Capacity is negative, </t>
    </r>
    <r>
      <rPr>
        <i/>
        <sz val="9"/>
        <color rgb="FFFF0000"/>
        <rFont val="Calibri"/>
        <family val="2"/>
        <scheme val="minor"/>
      </rPr>
      <t>Over levy ceiling</t>
    </r>
    <r>
      <rPr>
        <sz val="9"/>
        <color theme="1"/>
        <rFont val="Calibri"/>
        <family val="2"/>
        <scheme val="minor"/>
      </rPr>
      <t xml:space="preserve"> appears </t>
    </r>
  </si>
  <si>
    <t>NEW GROWTH</t>
  </si>
  <si>
    <t>Residential</t>
  </si>
  <si>
    <t>Commercial (C)</t>
  </si>
  <si>
    <t>Industrial (I)</t>
  </si>
  <si>
    <t>Personal Property (P)</t>
  </si>
  <si>
    <t>⑬</t>
  </si>
  <si>
    <t>TOTAL New Growth</t>
  </si>
  <si>
    <t>DE-1 DEBT EXCLUSION</t>
  </si>
  <si>
    <t>GF Gross Excluded Debt Service</t>
  </si>
  <si>
    <t>See Debt</t>
  </si>
  <si>
    <r>
      <t xml:space="preserve">Filled from </t>
    </r>
    <r>
      <rPr>
        <i/>
        <sz val="9"/>
        <color theme="1"/>
        <rFont val="Calibri"/>
        <family val="2"/>
        <scheme val="minor"/>
      </rPr>
      <t>Debt</t>
    </r>
    <r>
      <rPr>
        <sz val="9"/>
        <color theme="1"/>
        <rFont val="Calibri"/>
        <family val="2"/>
        <scheme val="minor"/>
      </rPr>
      <t xml:space="preserve"> worksheet</t>
    </r>
  </si>
  <si>
    <t>RSD Gross Excluded Debt Service</t>
  </si>
  <si>
    <t>⑭</t>
  </si>
  <si>
    <t>Reimbursements/Adjustments</t>
  </si>
  <si>
    <t>NET Excluded Debt Service</t>
  </si>
  <si>
    <t>OVERLAY RESERVE</t>
  </si>
  <si>
    <t>⑮</t>
  </si>
  <si>
    <t>Allowance for Abatements/Exemptions</t>
  </si>
  <si>
    <t>TOTAL Overlay Reserve</t>
  </si>
  <si>
    <t>DLS Gateway, Levy Limit Worksheet, Total Section I.</t>
  </si>
  <si>
    <t>DLS Gateway, Levy Limit worksheet (II)(A1) or DLS Gateway, Tax Rate, LA-13A Amended Tax Base Levy Growth</t>
  </si>
  <si>
    <t>Prior Year Levy Limit * .025</t>
  </si>
  <si>
    <t>DLS Gateway, Levy Limit worksheet (II)(C)</t>
  </si>
  <si>
    <t>DLS Gateway, Levy Limit worksheet (II)(D)</t>
  </si>
  <si>
    <t>DLS Gateway, Tax Rate, DE-1 and DLS Gateway, Levy Limit worksheet (III)(B)</t>
  </si>
  <si>
    <t>DLS Gateway, Levy Limit worksheet (III)(G)</t>
  </si>
  <si>
    <t>DLS Gateway, LA-5 Options &amp; Certification (calculated field, verify against LA-5)</t>
  </si>
  <si>
    <t>DLS Gateway, Tax Rate, Page 1 (Ic)</t>
  </si>
  <si>
    <t xml:space="preserve">DLS Gateway, LA-4 Assessment/Classification, Real and Personal Property Total Value or Tax Rate, Page 1 column D </t>
  </si>
  <si>
    <t>2.5% of Total Taxable Value across all Property Classes</t>
  </si>
  <si>
    <t>DLS Gateway, Tax Rate, LA-13 Tax Levy Base Growth,column E (column K prior to FY2020)</t>
  </si>
  <si>
    <t>DLS Gateway, Tax Rate, DE-1, column H. Any monies (e.g., library construction grant, MSBA, bond premiums, etc.)</t>
  </si>
  <si>
    <t>that will reimburse/adjust the city/town for excludable debt service costs must be identified</t>
  </si>
  <si>
    <t>OL-1 or DLS Gateway, Tax Rate Recap, Page 2 (II)(d)</t>
  </si>
  <si>
    <t xml:space="preserve"> LA-13 Tax Levy Base Growth</t>
  </si>
  <si>
    <t>3-year average</t>
  </si>
  <si>
    <t>Commercial/Industrial</t>
  </si>
  <si>
    <t>Personal Property</t>
  </si>
  <si>
    <t>Total</t>
  </si>
  <si>
    <t>5-year average</t>
  </si>
  <si>
    <t>10-year average</t>
  </si>
  <si>
    <t>State Aid and Assessments</t>
  </si>
  <si>
    <t>Final Est</t>
  </si>
  <si>
    <t>STATE AID</t>
  </si>
  <si>
    <t>Enter all amounts from the Preliminary Municipal Cherry Sheet Estimate</t>
  </si>
  <si>
    <t>Chapter 70 Education Aid</t>
  </si>
  <si>
    <t>https://dlsgateway.dor.state.ma.us/reports/rdPage.aspx?rdReport=CherrySheets.CSbyProgMunis.MuniBudgEst</t>
  </si>
  <si>
    <t>School Transportation</t>
  </si>
  <si>
    <t>Charter Tuition Reimbursement</t>
  </si>
  <si>
    <t>Smart Growth School Reimbursement</t>
  </si>
  <si>
    <t>School Lunch (offset)</t>
  </si>
  <si>
    <t>School Lunch offset no longer funded here</t>
  </si>
  <si>
    <t>School Choice Receiving Tuition (Offset)</t>
  </si>
  <si>
    <t>Hide rows that are not applicable to your community</t>
  </si>
  <si>
    <t>Unrestricted General Government Aid</t>
  </si>
  <si>
    <r>
      <t xml:space="preserve">If a row is deleted, the link to the </t>
    </r>
    <r>
      <rPr>
        <i/>
        <sz val="8"/>
        <color theme="1"/>
        <rFont val="Calibri"/>
        <family val="2"/>
        <scheme val="minor"/>
      </rPr>
      <t xml:space="preserve">Revenue </t>
    </r>
    <r>
      <rPr>
        <sz val="8"/>
        <color theme="1"/>
        <rFont val="Calibri"/>
        <family val="2"/>
        <scheme val="minor"/>
      </rPr>
      <t>worksheet will have an error</t>
    </r>
  </si>
  <si>
    <t>Local Share pf Racing Taxes</t>
  </si>
  <si>
    <t>Regional Public Libraries</t>
  </si>
  <si>
    <t>Police Career Incentive</t>
  </si>
  <si>
    <t>Police career incentive (Quinn bill) no longer funded</t>
  </si>
  <si>
    <t>Urban Revitalization</t>
  </si>
  <si>
    <t>Veterans Benefits</t>
  </si>
  <si>
    <t>Exemptions VBS and Elderly</t>
  </si>
  <si>
    <t>State Owned Land</t>
  </si>
  <si>
    <t>Public Libraries (offset)</t>
  </si>
  <si>
    <t>TOTAL Cherry Sheet Receipts</t>
  </si>
  <si>
    <t>%</t>
  </si>
  <si>
    <t>MSBA construction reimbursement ends FY2024</t>
  </si>
  <si>
    <t xml:space="preserve">STATE ASSESSMENTS </t>
  </si>
  <si>
    <t>County Tax</t>
  </si>
  <si>
    <t>Suffolk County Retirement</t>
  </si>
  <si>
    <t>Essex County Regional Comm Center</t>
  </si>
  <si>
    <t>Retired Employees Health Insurance</t>
  </si>
  <si>
    <t>Retired Teachers Health Insurance</t>
  </si>
  <si>
    <t>Mosquito Control</t>
  </si>
  <si>
    <t>Air Pollution</t>
  </si>
  <si>
    <t>Metropolitan Area Planning Council</t>
  </si>
  <si>
    <t>Old Colony Planning Council</t>
  </si>
  <si>
    <t>RMV Non-Renewal Surcharge</t>
  </si>
  <si>
    <t>MBTA</t>
  </si>
  <si>
    <t>Boston Metro Transit District</t>
  </si>
  <si>
    <t>Regional Transit</t>
  </si>
  <si>
    <t>Multi-year Repayment Program</t>
  </si>
  <si>
    <t>Special Education</t>
  </si>
  <si>
    <t>STRAP Repayment</t>
  </si>
  <si>
    <t>School Choice Sending Tuition</t>
  </si>
  <si>
    <t>Charter School Sending Tuition</t>
  </si>
  <si>
    <t>TOTAL Cherry Sheet Assessments</t>
  </si>
  <si>
    <t>Receipts</t>
  </si>
  <si>
    <t>Assessments</t>
  </si>
  <si>
    <t>TOTAL Net State Aid</t>
  </si>
  <si>
    <t>DLS website Trends in Municipal Cherry Sheet Aid (from FY2010 to current)</t>
  </si>
  <si>
    <t>https://dlsgateway.dor.state.ma.us/reports/rdPage.aspx?rdReport=CherrySheets.CSbyProgMunis.cs_prog_munis</t>
  </si>
  <si>
    <t>Prior years are available under Historical Cherry Sheets. A notable execption is FY21 so review the preliminary estimates to determine which set is used for the community.</t>
  </si>
  <si>
    <t>https://www.mass.gov/collections/Historical-Cherry-Sheet-Spreadsheets-FY1981-to-FY2009</t>
  </si>
  <si>
    <t>Cherry Sheet Aid equals calculated amount from NSS worksheet (if applicable) - may be entered directly from the cherry sheet</t>
  </si>
  <si>
    <t>Program funding discontinued.</t>
  </si>
  <si>
    <t>Previously "Lottery Aid" and "Additional Assistance"</t>
  </si>
  <si>
    <t xml:space="preserve">Previously included on the cherry sheet, these are older school construction prior grants that receive annual payments form the state, subject to appropriation. </t>
  </si>
  <si>
    <t>This reimbursement ends in FY2024. DLS Gateway, Tax Rate, Page 2 (IIIa. 2.)</t>
  </si>
  <si>
    <t>Local Receipt Projections</t>
  </si>
  <si>
    <t>BUDGET</t>
  </si>
  <si>
    <t>1. Motor Vehicle Excise</t>
  </si>
  <si>
    <t>For ease of use, hide rows that are not applicable to your community</t>
  </si>
  <si>
    <t>2a. Meals Excise</t>
  </si>
  <si>
    <t>2b. Room Excise</t>
  </si>
  <si>
    <t>2c. Other Excise-Boat</t>
  </si>
  <si>
    <t>2d. Cannabis</t>
  </si>
  <si>
    <t>3. Penalties/Interest on Taxes and Excises</t>
  </si>
  <si>
    <t>4. Payment In Lieu of Taxes</t>
  </si>
  <si>
    <t>5. Charges for Services-Water</t>
  </si>
  <si>
    <t>6. Charges for Services-Sewer</t>
  </si>
  <si>
    <t>7. Charges for Services-Hospital</t>
  </si>
  <si>
    <t>8. Charges for Services-Solid Waste Fees</t>
  </si>
  <si>
    <t>9. Other Charges for Services</t>
  </si>
  <si>
    <t>10. Fees</t>
  </si>
  <si>
    <t>10a. Cannabis Impact Fee</t>
  </si>
  <si>
    <t>10b. Community Impact Fee Short Term Rentals</t>
  </si>
  <si>
    <t>11. Rentals</t>
  </si>
  <si>
    <t>12. Dept. Revenue-Schools</t>
  </si>
  <si>
    <t>13. Dept. Revenue-Libraries</t>
  </si>
  <si>
    <t>14. Dept. Revenue-Cemeteries</t>
  </si>
  <si>
    <t>15. Dept. Revenue-Recreation</t>
  </si>
  <si>
    <t>16. Other Departmental Revenue</t>
  </si>
  <si>
    <t>17. Licenses/Permits</t>
  </si>
  <si>
    <t>18. Special Assessments</t>
  </si>
  <si>
    <t>19. Fines and Forfeits</t>
  </si>
  <si>
    <t>20. Investment Income</t>
  </si>
  <si>
    <t>21. Medicaid Reimbursement</t>
  </si>
  <si>
    <t>22. Misc. Recurring</t>
  </si>
  <si>
    <t>23. Misc. Non-Recurring</t>
  </si>
  <si>
    <r>
      <t>TOTAL Local Receipts-Budget</t>
    </r>
    <r>
      <rPr>
        <sz val="9"/>
        <rFont val="Calibri"/>
        <family val="2"/>
        <scheme val="minor"/>
      </rPr>
      <t xml:space="preserve"> </t>
    </r>
  </si>
  <si>
    <t>Percent of Previous Year Actual</t>
  </si>
  <si>
    <t>ACTUAL</t>
  </si>
  <si>
    <t>Actual</t>
  </si>
  <si>
    <t>TOTAL Local Receipts-Actual</t>
  </si>
  <si>
    <t>Difference:  Actual over Budget</t>
  </si>
  <si>
    <t>Percent of Over Actual</t>
  </si>
  <si>
    <t>Estimated receipts increases/decreases from current year to the prior are used in calculating the Municipal Revenue Growth Factor (MRGF).</t>
  </si>
  <si>
    <t>DLS, Gateway, Taxrate, Tax Rate Recap, page 3</t>
  </si>
  <si>
    <t>Offset Receipt Projections</t>
  </si>
  <si>
    <t>1  Water</t>
  </si>
  <si>
    <t>2  Sewer</t>
  </si>
  <si>
    <t>3  Hospital</t>
  </si>
  <si>
    <t>4  Nursing Home</t>
  </si>
  <si>
    <t>5  Recreation Department</t>
  </si>
  <si>
    <t>6  Airport</t>
  </si>
  <si>
    <r>
      <t>TOTAL Offset Receipts-Budget</t>
    </r>
    <r>
      <rPr>
        <sz val="9"/>
        <rFont val="Calibri"/>
        <family val="2"/>
        <scheme val="minor"/>
      </rPr>
      <t xml:space="preserve"> </t>
    </r>
  </si>
  <si>
    <t>TOTAL Offset Receipts-Actual</t>
  </si>
  <si>
    <t>DLS, Gateway, Taxrate, Form A-1 Offset Receipts</t>
  </si>
  <si>
    <t>Available Funds</t>
  </si>
  <si>
    <t>Free Cash-Appropriated</t>
  </si>
  <si>
    <t>Prior Year Purposes</t>
  </si>
  <si>
    <t>General Reserve Fund (Fin Com)</t>
  </si>
  <si>
    <t>If a row is deleted, the corresponding link will have an error</t>
  </si>
  <si>
    <t>Snow &amp; Ice</t>
  </si>
  <si>
    <t>If a row needs to be added, make sure it is linked (or input) on the expenditure page</t>
  </si>
  <si>
    <t>Stabilization Funds:</t>
  </si>
  <si>
    <t>General</t>
  </si>
  <si>
    <t>Stabilization funds highlighted in purple should not be changed other than to specify the name.</t>
  </si>
  <si>
    <t>SBRHS Special Purpose</t>
  </si>
  <si>
    <t xml:space="preserve">Projections for future years are found below and are included on the Summary sheet. </t>
  </si>
  <si>
    <t>#3</t>
  </si>
  <si>
    <t>Altering the information in purple will result in calculation errors.</t>
  </si>
  <si>
    <t>#4</t>
  </si>
  <si>
    <t>#5</t>
  </si>
  <si>
    <t>#6</t>
  </si>
  <si>
    <t>Current year purposes</t>
  </si>
  <si>
    <t>Special Projects/CIP*</t>
  </si>
  <si>
    <t>OPEB Trust</t>
  </si>
  <si>
    <t>*This is required for the forecast to balance to the recap in the budget year.</t>
  </si>
  <si>
    <t>Transfer to other reserve/fund</t>
  </si>
  <si>
    <t xml:space="preserve">  All available funds are assumed to be expended in the year they are reported on the recap.</t>
  </si>
  <si>
    <t>Other</t>
  </si>
  <si>
    <t>Reduce Tax Rate</t>
  </si>
  <si>
    <t>Total Free Cash Appropriated</t>
  </si>
  <si>
    <t>From Other Available Funds</t>
  </si>
  <si>
    <t>Receipts Reserved for Appropriation</t>
  </si>
  <si>
    <t>Overlay Surplus</t>
  </si>
  <si>
    <t>Repurpose/rescind previous articles</t>
  </si>
  <si>
    <r>
      <t xml:space="preserve">Budgetary transfers </t>
    </r>
    <r>
      <rPr>
        <sz val="8"/>
        <color theme="1"/>
        <rFont val="Calibri"/>
        <family val="2"/>
        <scheme val="minor"/>
      </rPr>
      <t xml:space="preserve"> (not a revenues source</t>
    </r>
    <r>
      <rPr>
        <sz val="9"/>
        <color theme="1"/>
        <rFont val="Calibri"/>
        <family val="2"/>
        <scheme val="minor"/>
      </rPr>
      <t>)</t>
    </r>
  </si>
  <si>
    <r>
      <t xml:space="preserve">Chapter 90 </t>
    </r>
    <r>
      <rPr>
        <sz val="6"/>
        <rFont val="Calibri"/>
        <family val="2"/>
        <scheme val="minor"/>
      </rPr>
      <t>(no longer appropriated after FY2017)</t>
    </r>
  </si>
  <si>
    <t>Other Funds</t>
  </si>
  <si>
    <t>Total Other Available Funds</t>
  </si>
  <si>
    <t>Fiscal Year</t>
  </si>
  <si>
    <t>Retained Earning certified as of</t>
  </si>
  <si>
    <t>7/1/2016</t>
  </si>
  <si>
    <t>7/1/2017</t>
  </si>
  <si>
    <t>7/1/2018</t>
  </si>
  <si>
    <t>7/1/2019</t>
  </si>
  <si>
    <t>7/1/2020</t>
  </si>
  <si>
    <t>7/1/2021</t>
  </si>
  <si>
    <t>7/1/2022</t>
  </si>
  <si>
    <t>7/1/2023</t>
  </si>
  <si>
    <t>7/1/2024</t>
  </si>
  <si>
    <t>7/1/2025</t>
  </si>
  <si>
    <t>7/1/2026</t>
  </si>
  <si>
    <t>7/1/2027</t>
  </si>
  <si>
    <t>7/1/2028</t>
  </si>
  <si>
    <t>7/1/2029</t>
  </si>
  <si>
    <t>7/1/2030</t>
  </si>
  <si>
    <t>Total Operating Budget</t>
  </si>
  <si>
    <t>Free Cash Certified Amount</t>
  </si>
  <si>
    <r>
      <t xml:space="preserve">All cells linked from </t>
    </r>
    <r>
      <rPr>
        <i/>
        <sz val="8"/>
        <rFont val="Calibri"/>
        <family val="2"/>
        <scheme val="minor"/>
      </rPr>
      <t>Revenues</t>
    </r>
    <r>
      <rPr>
        <sz val="8"/>
        <rFont val="Calibri"/>
        <family val="2"/>
        <scheme val="minor"/>
      </rPr>
      <t xml:space="preserve"> worksheet</t>
    </r>
  </si>
  <si>
    <t>Free Cash as % of Total Budget</t>
  </si>
  <si>
    <t>Enter after certified by DLS</t>
  </si>
  <si>
    <t>Available SF Balances as of:</t>
  </si>
  <si>
    <t/>
  </si>
  <si>
    <t>Enter balance sheet figures</t>
  </si>
  <si>
    <t>Combined SF as % of Total Budget</t>
  </si>
  <si>
    <t>OPEB Fund</t>
  </si>
  <si>
    <t>Projected Stabilization Fund Balances</t>
  </si>
  <si>
    <t>DLS, Gateway, Tax rate, Tax Rate Recap, pages 2 and 4 and town meeting minutes.</t>
  </si>
  <si>
    <t>DLS, Gateway, Tax rate,  B2 Other Funds.</t>
  </si>
  <si>
    <t>DLS, Gateway, Tax rate, Tax Rate Recap, page 2, IV.d. less III.b. 3 and 4</t>
  </si>
  <si>
    <t>DLS, Gateway, Tax rate, B1 Free Cash</t>
  </si>
  <si>
    <t>Schedule A, Page 6 Trust, Trial Balance Summary</t>
  </si>
  <si>
    <t>OPEB fund is the total for the general fund and the water enterprise fund</t>
  </si>
  <si>
    <t>Projected fiscal year-end balances are based on annual appropriations to the accounts, nominal annual interest, and transfers from the accounts.</t>
  </si>
  <si>
    <t xml:space="preserve">Nominal annual interest should be provided by the treasurer based on actual bank statements. </t>
  </si>
  <si>
    <t>GENERAL GOVERNMENT</t>
  </si>
  <si>
    <t>See Position Control</t>
  </si>
  <si>
    <t>Also see COLA</t>
  </si>
  <si>
    <t>Capital Outlay</t>
  </si>
  <si>
    <t xml:space="preserve">TOTAL General Government </t>
  </si>
  <si>
    <t>PUBLIC SAFETY</t>
  </si>
  <si>
    <t>Police Personal Services</t>
  </si>
  <si>
    <t>Police Expenses</t>
  </si>
  <si>
    <t>Police Capital Outlay</t>
  </si>
  <si>
    <t>Total Police</t>
  </si>
  <si>
    <t>Fire/EMS Personal Services</t>
  </si>
  <si>
    <t>Fire/EMS Expenses</t>
  </si>
  <si>
    <t>Fire/EMS Capital Outlay</t>
  </si>
  <si>
    <t>Total Fire/EMS</t>
  </si>
  <si>
    <t>Other Public Safety Personal Services</t>
  </si>
  <si>
    <t>Other Public Safety Expenses</t>
  </si>
  <si>
    <t>Total Other Services</t>
  </si>
  <si>
    <t>TOTAL Public Safety</t>
  </si>
  <si>
    <t>EDUCATION</t>
  </si>
  <si>
    <t>Local Public School Budget</t>
  </si>
  <si>
    <t>Local Public School Transportation</t>
  </si>
  <si>
    <t>Local Public School Capital</t>
  </si>
  <si>
    <t>Total Local School</t>
  </si>
  <si>
    <t>SBRHS Assessment</t>
  </si>
  <si>
    <t>_____ RSD Transportation</t>
  </si>
  <si>
    <t>_____ RSD Debt</t>
  </si>
  <si>
    <t>Total SBRHS</t>
  </si>
  <si>
    <t>Bristol Agricultural Assessment</t>
  </si>
  <si>
    <t>Total Bristol Agricultural</t>
  </si>
  <si>
    <t>Vocational Assessment</t>
  </si>
  <si>
    <t>Vocational Transportation</t>
  </si>
  <si>
    <t>Vocational Debt Service</t>
  </si>
  <si>
    <t>Total Bristol-Plymouth RSD</t>
  </si>
  <si>
    <t>Other Education Expenses</t>
  </si>
  <si>
    <t>TOTAL Education</t>
  </si>
  <si>
    <t>PUBLIC WORKS</t>
  </si>
  <si>
    <t>DPW Personal Services</t>
  </si>
  <si>
    <t>DPW Expenses</t>
  </si>
  <si>
    <t>Snow &amp; Ice Expenses</t>
  </si>
  <si>
    <t>DPW Capital Outlay</t>
  </si>
  <si>
    <t xml:space="preserve">TOTAL Public Works </t>
  </si>
  <si>
    <t>HEALTH and HUMAN SERVICES</t>
  </si>
  <si>
    <t>TOTAL Health &amp; Human Services</t>
  </si>
  <si>
    <t>CULTURE and RECREATION</t>
  </si>
  <si>
    <t>TOTAL Culture &amp; Recreation</t>
  </si>
  <si>
    <t xml:space="preserve">DEBT SERVICE </t>
  </si>
  <si>
    <r>
      <t xml:space="preserve">All cells linked from </t>
    </r>
    <r>
      <rPr>
        <i/>
        <sz val="9"/>
        <rFont val="Calibri"/>
        <family val="2"/>
        <scheme val="minor"/>
      </rPr>
      <t>Debt</t>
    </r>
    <r>
      <rPr>
        <sz val="9"/>
        <rFont val="Calibri"/>
        <family val="2"/>
        <scheme val="minor"/>
      </rPr>
      <t xml:space="preserve"> worksheet</t>
    </r>
  </si>
  <si>
    <t>Excluded - Principal</t>
  </si>
  <si>
    <t>Excluded - Interest</t>
  </si>
  <si>
    <t>Long-Term - Principal</t>
  </si>
  <si>
    <t>Long-Term - Interest</t>
  </si>
  <si>
    <t>Short-Term - Pay down</t>
  </si>
  <si>
    <t>Short-Term - Interest</t>
  </si>
  <si>
    <t>Debt Service Reserve</t>
  </si>
  <si>
    <t>TOTAL Debt Service</t>
  </si>
  <si>
    <t>RISK MANAGEMENT</t>
  </si>
  <si>
    <t>General Town Insurance</t>
  </si>
  <si>
    <t>Police/Fire IOD Insurance</t>
  </si>
  <si>
    <t>Unemployment Insurance</t>
  </si>
  <si>
    <t>Worker's Compensation</t>
  </si>
  <si>
    <t>TOTAL Risk Management</t>
  </si>
  <si>
    <t>EMPLOYEE BENEFITS</t>
  </si>
  <si>
    <t>Retirement</t>
  </si>
  <si>
    <t>Health Insurance</t>
  </si>
  <si>
    <t>Medicare</t>
  </si>
  <si>
    <t>TOTAL Employee Benefits</t>
  </si>
  <si>
    <t>RESERVES and MISCELLANEOUS</t>
  </si>
  <si>
    <t>Reserve Fund</t>
  </si>
  <si>
    <t>Miscellaneous (e.g., audit, OPEB valuation)</t>
  </si>
  <si>
    <t>OPEB Trust (budgetary)</t>
  </si>
  <si>
    <t>TOTAL Reserves and Miscellaneous</t>
  </si>
  <si>
    <t>TOTAL State Assessments</t>
  </si>
  <si>
    <t>OTHER AMOUNTS TO BE RAISED</t>
  </si>
  <si>
    <t>Deficits/Judgements/Tax Title</t>
  </si>
  <si>
    <t>See Revenues</t>
  </si>
  <si>
    <r>
      <t xml:space="preserve">All cells linked from </t>
    </r>
    <r>
      <rPr>
        <i/>
        <sz val="9"/>
        <rFont val="Calibri"/>
        <family val="2"/>
        <scheme val="minor"/>
      </rPr>
      <t>Revenues</t>
    </r>
    <r>
      <rPr>
        <sz val="9"/>
        <rFont val="Calibri"/>
        <family val="2"/>
        <scheme val="minor"/>
      </rPr>
      <t xml:space="preserve"> worksheet</t>
    </r>
  </si>
  <si>
    <t>Cherry Sheet Offsets</t>
  </si>
  <si>
    <t>Abatements &amp; Exemptions (Overlay)</t>
  </si>
  <si>
    <t>Other Amounts</t>
  </si>
  <si>
    <t>TOTAL Other Amounts Raised</t>
  </si>
  <si>
    <t>OTHER FINANCING USES</t>
  </si>
  <si>
    <r>
      <t xml:space="preserve">Snow &amp; Ice </t>
    </r>
    <r>
      <rPr>
        <sz val="8"/>
        <rFont val="Calibri"/>
        <family val="2"/>
        <scheme val="minor"/>
      </rPr>
      <t>(current shortfall/prior FY deficit)</t>
    </r>
  </si>
  <si>
    <t>See CIP</t>
  </si>
  <si>
    <r>
      <t xml:space="preserve">All cells linked from </t>
    </r>
    <r>
      <rPr>
        <i/>
        <sz val="9"/>
        <rFont val="Calibri"/>
        <family val="2"/>
        <scheme val="minor"/>
      </rPr>
      <t>CIP</t>
    </r>
    <r>
      <rPr>
        <sz val="9"/>
        <rFont val="Calibri"/>
        <family val="2"/>
        <scheme val="minor"/>
      </rPr>
      <t xml:space="preserve"> worksheet</t>
    </r>
  </si>
  <si>
    <t>Capital/Special Projects</t>
  </si>
  <si>
    <t>Current Year Special Articles</t>
  </si>
  <si>
    <r>
      <t>All cells linked from Available Funds</t>
    </r>
    <r>
      <rPr>
        <i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worksheet</t>
    </r>
  </si>
  <si>
    <t>Transfer to Stabilization Funds</t>
  </si>
  <si>
    <t>Transfer to/from Other Funds</t>
  </si>
  <si>
    <r>
      <t xml:space="preserve">All cells linked from </t>
    </r>
    <r>
      <rPr>
        <i/>
        <sz val="9"/>
        <rFont val="Calibri"/>
        <family val="2"/>
        <scheme val="minor"/>
      </rPr>
      <t>Enterprise</t>
    </r>
    <r>
      <rPr>
        <sz val="9"/>
        <rFont val="Calibri"/>
        <family val="2"/>
        <scheme val="minor"/>
      </rPr>
      <t xml:space="preserve"> worksheet</t>
    </r>
  </si>
  <si>
    <r>
      <t xml:space="preserve">OPEB Trust </t>
    </r>
    <r>
      <rPr>
        <sz val="8"/>
        <rFont val="Calibri"/>
        <family val="2"/>
        <scheme val="minor"/>
      </rPr>
      <t>(Free cash transfer into fund)</t>
    </r>
  </si>
  <si>
    <t>TOTAL Other financing Uses</t>
  </si>
  <si>
    <t>Offset for Indirect Costs</t>
  </si>
  <si>
    <t xml:space="preserve">TOTAL GENERAL FUND </t>
  </si>
  <si>
    <t>Funding for stabilization funds from raise and appropriate, including Stabilization Fund Override</t>
  </si>
  <si>
    <t>Funding for OPEB from raise and appropriate</t>
  </si>
  <si>
    <t>Capital/Special projects are deemed expended in the fiscal year it is reported on the recap</t>
  </si>
  <si>
    <t>Current year special articles are deemed expended in the fiscal year it is reported on the recap</t>
  </si>
  <si>
    <t>Transfers include free cash and excess appropriated funds to all stabilization funds.</t>
  </si>
  <si>
    <t>_____ENTERPRISE</t>
  </si>
  <si>
    <t>Enter type of enterprise</t>
  </si>
  <si>
    <t>Enterprise Revenues</t>
  </si>
  <si>
    <t>User Charges</t>
  </si>
  <si>
    <t>Formula for user charges assumes full cost recovery</t>
  </si>
  <si>
    <t>Other Revenue</t>
  </si>
  <si>
    <t>No projection formula for Other Revenue</t>
  </si>
  <si>
    <t>TOTAL ____ Revenue</t>
  </si>
  <si>
    <t>Retained Earnings</t>
  </si>
  <si>
    <t>____ Stabilization Fund</t>
  </si>
  <si>
    <t>Other available funds</t>
  </si>
  <si>
    <t>TOTAL ____ Enterprise Revenues-Budget</t>
  </si>
  <si>
    <t>Budget to Actual Revenues</t>
  </si>
  <si>
    <t>Receipts - Actual</t>
  </si>
  <si>
    <t>Difference:  Receipts Actual over Budget</t>
  </si>
  <si>
    <t>Enterprise Expenditures</t>
  </si>
  <si>
    <t>Debt</t>
  </si>
  <si>
    <r>
      <t xml:space="preserve">All cells linked to individual debt instruments on </t>
    </r>
    <r>
      <rPr>
        <i/>
        <sz val="8"/>
        <color theme="1"/>
        <rFont val="Calibri"/>
        <family val="2"/>
        <scheme val="minor"/>
      </rPr>
      <t>Debt</t>
    </r>
    <r>
      <rPr>
        <sz val="8"/>
        <color theme="1"/>
        <rFont val="Calibri"/>
        <family val="2"/>
        <scheme val="minor"/>
      </rPr>
      <t xml:space="preserve"> worksheet</t>
    </r>
  </si>
  <si>
    <t>Capital Expenditures</t>
  </si>
  <si>
    <r>
      <t xml:space="preserve">All cells linked to </t>
    </r>
    <r>
      <rPr>
        <i/>
        <sz val="8"/>
        <color theme="1"/>
        <rFont val="Calibri"/>
        <family val="2"/>
        <scheme val="minor"/>
      </rPr>
      <t>CIP</t>
    </r>
    <r>
      <rPr>
        <sz val="8"/>
        <color theme="1"/>
        <rFont val="Calibri"/>
        <family val="2"/>
        <scheme val="minor"/>
      </rPr>
      <t xml:space="preserve"> worksheet</t>
    </r>
  </si>
  <si>
    <t>Transfer to Stabilization</t>
  </si>
  <si>
    <t>Total Expenditures</t>
  </si>
  <si>
    <t>Indirect Expenses</t>
  </si>
  <si>
    <t>Retained Earnings certified as of</t>
  </si>
  <si>
    <t>____ Retained Earnings</t>
  </si>
  <si>
    <t>Retained Earnings as % of Total Budget</t>
  </si>
  <si>
    <t>Copy rows 6 thru 37 to add additional enterprise funds</t>
  </si>
  <si>
    <t xml:space="preserve">If more funds are added, the enterprise fund revenues and expenditures formula in the Summary worksheet (rows 35 and 36) </t>
  </si>
  <si>
    <t xml:space="preserve"> DLS, Gateway, Taxrate, A-2 Enterprise Funds</t>
  </si>
  <si>
    <t>must be updated by adding the total revenues (original row 14) and total expenditures (original rows 30 and 31)</t>
  </si>
  <si>
    <t>Town Expenditure Reports</t>
  </si>
  <si>
    <t xml:space="preserve">Community Preservation Fund </t>
  </si>
  <si>
    <t>Community Preservation Fund Revenue</t>
  </si>
  <si>
    <t>State Trust Fund Distribution</t>
  </si>
  <si>
    <t>Other - Interest, OFS</t>
  </si>
  <si>
    <t>TOTAL CPF Revenue</t>
  </si>
  <si>
    <t>Fund Reserves or Balances voted at Town Meeting</t>
  </si>
  <si>
    <t xml:space="preserve">Other Appropriated </t>
  </si>
  <si>
    <t>TOTAL CPF Revenue-Budget</t>
  </si>
  <si>
    <t>TOTAL CPF Revenue-Actual</t>
  </si>
  <si>
    <t>Community Preservation Fund Expenditures</t>
  </si>
  <si>
    <t>Capital/Other Projects</t>
  </si>
  <si>
    <t>Transfers to Other Funds/Land Purchase</t>
  </si>
  <si>
    <t>Unappropriated/Unreserved</t>
  </si>
  <si>
    <t>TOTAL CPF Expenditures</t>
  </si>
  <si>
    <t>Community Preservation Fund Reserves</t>
  </si>
  <si>
    <t>Open Space/Historic/Comm Housing Reserves</t>
  </si>
  <si>
    <t>10% Surcharge*3</t>
  </si>
  <si>
    <t>Administrative Expenses</t>
  </si>
  <si>
    <t>5% Surcharge</t>
  </si>
  <si>
    <t>Budgeted Reserve</t>
  </si>
  <si>
    <t>TOTAL CPF Reserves</t>
  </si>
  <si>
    <r>
      <t>CPF Surplus/</t>
    </r>
    <r>
      <rPr>
        <b/>
        <sz val="9"/>
        <color rgb="FFFF0000"/>
        <rFont val="Calibri"/>
        <family val="2"/>
        <scheme val="minor"/>
      </rPr>
      <t>(Shortfall)</t>
    </r>
    <r>
      <rPr>
        <b/>
        <sz val="9"/>
        <rFont val="Calibri"/>
        <family val="2"/>
        <scheme val="minor"/>
      </rPr>
      <t xml:space="preserve"> </t>
    </r>
  </si>
  <si>
    <t>DLS, Gateway, Tax Rate, A-4 Community Preservation Funds</t>
  </si>
  <si>
    <t>DLS, Gateway, Schedule A, Part 3, Special Revenue</t>
  </si>
  <si>
    <t>Meeting Reports</t>
  </si>
  <si>
    <t>GF Debt Service</t>
  </si>
  <si>
    <t>Enterprise Debt Service</t>
  </si>
  <si>
    <t>Community Preservation Debt Service</t>
  </si>
  <si>
    <t>Debt Service Reserve (to maintain GF debt spending within Levy)</t>
  </si>
  <si>
    <t>Total GF and Enterprise Debt</t>
  </si>
  <si>
    <t>RSD Debt Service</t>
  </si>
  <si>
    <t>Short Term Debt Service</t>
  </si>
  <si>
    <t>Total Debt</t>
  </si>
  <si>
    <t>General Fund Debt Service</t>
  </si>
  <si>
    <t>Enter as required based on bank schedules</t>
  </si>
  <si>
    <t>TOTAL GF Debt Service Principal</t>
  </si>
  <si>
    <t>Total GF Debt Service Interest</t>
  </si>
  <si>
    <t>Total GF Debt Service</t>
  </si>
  <si>
    <t>GF Target Debt Calculation</t>
  </si>
  <si>
    <t>Target Dollar Level</t>
  </si>
  <si>
    <t>Difference between the target dollar amount and existing GF non-excluded debt service</t>
  </si>
  <si>
    <t>Target Percentage</t>
  </si>
  <si>
    <t>Target percentage of recurring prior year GF Revenues net of projected GF non-excluded debt service</t>
  </si>
  <si>
    <t>Debt Service Reserve to Remain at Target</t>
  </si>
  <si>
    <t>Nothing (leaving cell blank), Target Dollar Level (link in cell above); or Target Percentage (link in cell above)</t>
  </si>
  <si>
    <t>Excluded Debt Service</t>
  </si>
  <si>
    <t>Town Office Building (Retired FY2035)</t>
  </si>
  <si>
    <t>Municipal Purpose</t>
  </si>
  <si>
    <t>Berkley Community School</t>
  </si>
  <si>
    <t>Total GF Excluded Principal</t>
  </si>
  <si>
    <t>Total GF Excluded Interest</t>
  </si>
  <si>
    <t>Total GF Excluded Debt Service</t>
  </si>
  <si>
    <t>_____ Enterprise</t>
  </si>
  <si>
    <t>Total Enterprise Principal</t>
  </si>
  <si>
    <t>Total Enterprise Interest</t>
  </si>
  <si>
    <t>Total Enterprise Debt Service</t>
  </si>
  <si>
    <t>Community Preservation Fund Debt Service</t>
  </si>
  <si>
    <t>Total CPF Principal</t>
  </si>
  <si>
    <t>Total CPF Interest</t>
  </si>
  <si>
    <t>Total CP Debt Service</t>
  </si>
  <si>
    <t xml:space="preserve">Regional School Debt </t>
  </si>
  <si>
    <t>Somerset Berkley School District</t>
  </si>
  <si>
    <t>Enter from regional assessment formula</t>
  </si>
  <si>
    <t>Region #2</t>
  </si>
  <si>
    <t>Vocational</t>
  </si>
  <si>
    <t>Total Regional School Debt</t>
  </si>
  <si>
    <t>Regional School Debt (Excluded)</t>
  </si>
  <si>
    <t>Bristol-Plymouth Regional Technical</t>
  </si>
  <si>
    <t>Total Regional School Debt (Excluded)</t>
  </si>
  <si>
    <t>Total Short Term Pay down</t>
  </si>
  <si>
    <t>Total Short Term Interest</t>
  </si>
  <si>
    <t>Total Other Debt Service</t>
  </si>
  <si>
    <t>Budgeted with the RSD annual assessment</t>
  </si>
  <si>
    <t>Pay down is the amount required appropriation amount due to the length of the BAN</t>
  </si>
  <si>
    <t>*</t>
  </si>
  <si>
    <t>For WPAT loans, a 7.5% service fee is assessed on the bank scheduled interest due each year.</t>
  </si>
  <si>
    <t>Capital Plan/One-Time Purchases</t>
  </si>
  <si>
    <t>Dept #</t>
  </si>
  <si>
    <t>Project Name</t>
  </si>
  <si>
    <t>Add rows and descriptions as needed</t>
  </si>
  <si>
    <t>Subtotal Police</t>
  </si>
  <si>
    <t>Subtotal Fire</t>
  </si>
  <si>
    <t>Subtotal Other Services</t>
  </si>
  <si>
    <t>TOTAL General Fund Capital</t>
  </si>
  <si>
    <t>Funding:</t>
  </si>
  <si>
    <t>Raise &amp; appropriate</t>
  </si>
  <si>
    <t>Free cash</t>
  </si>
  <si>
    <t>General Stabilization Fund</t>
  </si>
  <si>
    <t>____ Stab Fund</t>
  </si>
  <si>
    <t>Overlay surplus</t>
  </si>
  <si>
    <t>Borrowing</t>
  </si>
  <si>
    <t>Lease</t>
  </si>
  <si>
    <t>Grant</t>
  </si>
  <si>
    <t>Total Funding Sources</t>
  </si>
  <si>
    <t>Difference: General Fund Capital and Funding</t>
  </si>
  <si>
    <t>_______ Enterprise</t>
  </si>
  <si>
    <t>TOTAL _____ Enterprise</t>
  </si>
  <si>
    <t>TOTAL Enterprise Funds Capital</t>
  </si>
  <si>
    <t>_____ Enterprise retained earnings</t>
  </si>
  <si>
    <t>Difference: Enterprise Funds Capital and Funding</t>
  </si>
  <si>
    <t>GRAND TOTAL Capital Plan</t>
  </si>
  <si>
    <t>Snow &amp; Ice Worksheet</t>
  </si>
  <si>
    <t>FY2005</t>
  </si>
  <si>
    <t>Original Appropriation</t>
  </si>
  <si>
    <t>Actual Expenditure</t>
  </si>
  <si>
    <r>
      <t>Surplus/</t>
    </r>
    <r>
      <rPr>
        <b/>
        <sz val="9"/>
        <color rgb="FFFF0000"/>
        <rFont val="Calibri"/>
        <family val="2"/>
        <scheme val="minor"/>
      </rPr>
      <t>(Deficit)</t>
    </r>
  </si>
  <si>
    <t>Less:</t>
  </si>
  <si>
    <t>Supplemental appropriation</t>
  </si>
  <si>
    <t>State reimbursement</t>
  </si>
  <si>
    <t>Federal reimbursement</t>
  </si>
  <si>
    <r>
      <rPr>
        <b/>
        <sz val="9"/>
        <color rgb="FFFF0000"/>
        <rFont val="Calibri"/>
        <family val="2"/>
        <scheme val="minor"/>
      </rPr>
      <t>Deficit</t>
    </r>
    <r>
      <rPr>
        <sz val="9"/>
        <color theme="1"/>
        <rFont val="Calibri"/>
        <family val="2"/>
        <scheme val="minor"/>
      </rPr>
      <t xml:space="preserve"> raised in subsequent year</t>
    </r>
  </si>
  <si>
    <t>5-year Average</t>
  </si>
  <si>
    <t>10-year Average</t>
  </si>
  <si>
    <t>Exempt</t>
  </si>
  <si>
    <t>Anniversary</t>
  </si>
  <si>
    <t>Longevity</t>
  </si>
  <si>
    <t>CBA</t>
  </si>
  <si>
    <t>FY26</t>
  </si>
  <si>
    <t>Next step</t>
  </si>
  <si>
    <t>Name</t>
  </si>
  <si>
    <t>Position</t>
  </si>
  <si>
    <t>Elected</t>
  </si>
  <si>
    <t>Step</t>
  </si>
  <si>
    <t>Stipend</t>
  </si>
  <si>
    <t>Individual Contract</t>
  </si>
  <si>
    <t>Enter each non-school employees  and relevant data</t>
  </si>
  <si>
    <t>George Miller</t>
  </si>
  <si>
    <t>Moderator</t>
  </si>
  <si>
    <t xml:space="preserve">Using budget appropriations, classification &amp; compensation plans, </t>
  </si>
  <si>
    <t>Mark Horsfall</t>
  </si>
  <si>
    <t>Selectmen</t>
  </si>
  <si>
    <t xml:space="preserve">Upon the expiration of contracts or relevant documentation </t>
  </si>
  <si>
    <t>Jennifer Vincent</t>
  </si>
  <si>
    <t>that dictate salary increases, only step increases would be entered</t>
  </si>
  <si>
    <t>Tabitha McCrohan</t>
  </si>
  <si>
    <t>Matthew Chabot</t>
  </si>
  <si>
    <t>Town Administrator</t>
  </si>
  <si>
    <t>Contract</t>
  </si>
  <si>
    <t xml:space="preserve">Based on major category groupings (e.g., general government, public </t>
  </si>
  <si>
    <t>Bonnie Marshall</t>
  </si>
  <si>
    <t>Float Clerk</t>
  </si>
  <si>
    <t>5,1</t>
  </si>
  <si>
    <t>safety, etc.), summarize employees by exempt, specific CBS, individual</t>
  </si>
  <si>
    <t>Vacant</t>
  </si>
  <si>
    <t>Administrative assistant</t>
  </si>
  <si>
    <t xml:space="preserve"> contracts, or elected so these summary cells can be linked into the COLA</t>
  </si>
  <si>
    <t>Selectmen's Office</t>
  </si>
  <si>
    <t>worksheet where potential future cost-of-living adjustments are calculated</t>
  </si>
  <si>
    <t>Ashleigh Haslam</t>
  </si>
  <si>
    <t>Accountant</t>
  </si>
  <si>
    <t>Assistant Accountant</t>
  </si>
  <si>
    <t>Accounting</t>
  </si>
  <si>
    <t>Mark Pettey</t>
  </si>
  <si>
    <t>Assessor</t>
  </si>
  <si>
    <t>Lisa Tetreault</t>
  </si>
  <si>
    <t>Jean Russo</t>
  </si>
  <si>
    <t>Sandra Cameron</t>
  </si>
  <si>
    <t>Principal Assessor</t>
  </si>
  <si>
    <t>Assessors</t>
  </si>
  <si>
    <t>Dissolved</t>
  </si>
  <si>
    <t>Treasurer</t>
  </si>
  <si>
    <t>Crystal Simoes</t>
  </si>
  <si>
    <t>Assistant Treasurer</t>
  </si>
  <si>
    <t>12,1</t>
  </si>
  <si>
    <t>Treasurer Clerk</t>
  </si>
  <si>
    <t>Union</t>
  </si>
  <si>
    <t>Chloe Madden</t>
  </si>
  <si>
    <t>Treasurer/Collector</t>
  </si>
  <si>
    <t>Collector</t>
  </si>
  <si>
    <t>Jo-Ellen Senechal</t>
  </si>
  <si>
    <t>Assistant Collector</t>
  </si>
  <si>
    <t>8,3</t>
  </si>
  <si>
    <t>Heather Almy</t>
  </si>
  <si>
    <t>Town Clerk</t>
  </si>
  <si>
    <t>Ashley Tigano</t>
  </si>
  <si>
    <t>Assistant Town Clerk</t>
  </si>
  <si>
    <t>9,4</t>
  </si>
  <si>
    <t>Mark Oliveira</t>
  </si>
  <si>
    <t>Member</t>
  </si>
  <si>
    <t>Donna Leary</t>
  </si>
  <si>
    <t>Gregory Unger</t>
  </si>
  <si>
    <t>Michael Leger</t>
  </si>
  <si>
    <t>Paul R Megna</t>
  </si>
  <si>
    <t>Planning Board</t>
  </si>
  <si>
    <t>Matt Garuti</t>
  </si>
  <si>
    <t>Custodian</t>
  </si>
  <si>
    <t>6,2</t>
  </si>
  <si>
    <t>Town Building</t>
  </si>
  <si>
    <t>Joseph Biszko</t>
  </si>
  <si>
    <t xml:space="preserve">Building Commissioner </t>
  </si>
  <si>
    <t>Darlene Pereira</t>
  </si>
  <si>
    <t>Administrative Assistant</t>
  </si>
  <si>
    <t>8,2</t>
  </si>
  <si>
    <t>Building Department</t>
  </si>
  <si>
    <t>Arthur Newhook</t>
  </si>
  <si>
    <t>Chief</t>
  </si>
  <si>
    <t>Deputy Chief</t>
  </si>
  <si>
    <t>Lieutenant</t>
  </si>
  <si>
    <t>17,10</t>
  </si>
  <si>
    <t>Sergeant</t>
  </si>
  <si>
    <t>16,10</t>
  </si>
  <si>
    <t>16,9</t>
  </si>
  <si>
    <t>Officer</t>
  </si>
  <si>
    <t>14,8</t>
  </si>
  <si>
    <t>14,9</t>
  </si>
  <si>
    <t>Officer/Det.</t>
  </si>
  <si>
    <t>Officer/SRO</t>
  </si>
  <si>
    <t>14,4</t>
  </si>
  <si>
    <t>14,10</t>
  </si>
  <si>
    <t>14,6</t>
  </si>
  <si>
    <t>14,5</t>
  </si>
  <si>
    <t>-</t>
  </si>
  <si>
    <t>PT Officer</t>
  </si>
  <si>
    <t>per diem</t>
  </si>
  <si>
    <t>exempt</t>
  </si>
  <si>
    <t>PT Officer/POP</t>
  </si>
  <si>
    <t>POP Administrator</t>
  </si>
  <si>
    <t>Police Department</t>
  </si>
  <si>
    <t>Elin Fournier</t>
  </si>
  <si>
    <t>Dispatch Supervisor</t>
  </si>
  <si>
    <t>Dispatcher</t>
  </si>
  <si>
    <t>PT Dispatcher</t>
  </si>
  <si>
    <t>Communications Department</t>
  </si>
  <si>
    <t>Chief Perry</t>
  </si>
  <si>
    <t>DC Knight</t>
  </si>
  <si>
    <t>Patricia Carson</t>
  </si>
  <si>
    <t>Confidential Admin Assistant</t>
  </si>
  <si>
    <t>Nick Deandrade</t>
  </si>
  <si>
    <t>FT Firefighter/Paramedic</t>
  </si>
  <si>
    <t>Amanda Greco</t>
  </si>
  <si>
    <t>Jospeh Inacio</t>
  </si>
  <si>
    <t>Danielle Knight</t>
  </si>
  <si>
    <t>Gregg Faria</t>
  </si>
  <si>
    <t>FT Firefighter/EMT</t>
  </si>
  <si>
    <t>Ryan Pierce</t>
  </si>
  <si>
    <t>FT Firefgihter/EMT</t>
  </si>
  <si>
    <t>Call In Station (12hr day)</t>
  </si>
  <si>
    <t>Call Firefighter/EMT</t>
  </si>
  <si>
    <t>Call In Station (48/wk)</t>
  </si>
  <si>
    <t>6 Positions 12.1.2025</t>
  </si>
  <si>
    <t>Call Firefighter</t>
  </si>
  <si>
    <t>17 Positions 12.1.2025</t>
  </si>
  <si>
    <t>8 Positions 12.1.2025</t>
  </si>
  <si>
    <t>Call Firefighter/Paramedic</t>
  </si>
  <si>
    <t>Fire/EMS Department</t>
  </si>
  <si>
    <t>Marc Dorschied</t>
  </si>
  <si>
    <t>Animal Control Officer</t>
  </si>
  <si>
    <t>Animal Control</t>
  </si>
  <si>
    <t>FY__</t>
  </si>
  <si>
    <t>Rob Rose</t>
  </si>
  <si>
    <t>Highway Surveyor</t>
  </si>
  <si>
    <t>Stephen Laranjo</t>
  </si>
  <si>
    <t>Foreman 1</t>
  </si>
  <si>
    <t>12,10</t>
  </si>
  <si>
    <t>Robert Avilla Jr.</t>
  </si>
  <si>
    <t>Maintenance Mechanic</t>
  </si>
  <si>
    <t>11,10</t>
  </si>
  <si>
    <t>Timothy O' Brien</t>
  </si>
  <si>
    <t>Truck Driver/ Hvy Equipment Op.</t>
  </si>
  <si>
    <t>10,10</t>
  </si>
  <si>
    <t>Jason DeCosta</t>
  </si>
  <si>
    <t>Foreman 2/ Transfer Station</t>
  </si>
  <si>
    <t>Richard Thomas</t>
  </si>
  <si>
    <t>10,6</t>
  </si>
  <si>
    <t>Tyler Fitzpatrick</t>
  </si>
  <si>
    <t>Laborer</t>
  </si>
  <si>
    <t>8,7</t>
  </si>
  <si>
    <t>Robin Marshall</t>
  </si>
  <si>
    <t>Secretary/ Maintenance Attendent</t>
  </si>
  <si>
    <t>9,3</t>
  </si>
  <si>
    <t>David Dolman</t>
  </si>
  <si>
    <t>Hvy Equipment Op.</t>
  </si>
  <si>
    <t xml:space="preserve">Dean Gouveia </t>
  </si>
  <si>
    <t>10,3</t>
  </si>
  <si>
    <t>Christopher Bourget</t>
  </si>
  <si>
    <t>Part Time Non-Union Laborer</t>
  </si>
  <si>
    <t>4,5</t>
  </si>
  <si>
    <t>4,1</t>
  </si>
  <si>
    <t>Highway Department</t>
  </si>
  <si>
    <t>Kevin Pavao</t>
  </si>
  <si>
    <t>Cemetery Commissioner</t>
  </si>
  <si>
    <t>Elizabeth Amaral</t>
  </si>
  <si>
    <t>Robert Longton</t>
  </si>
  <si>
    <t>Cemetery Commission</t>
  </si>
  <si>
    <t>Patrick McCrohan</t>
  </si>
  <si>
    <t>Board of Health</t>
  </si>
  <si>
    <t>Dan Fournier</t>
  </si>
  <si>
    <t>James Romano</t>
  </si>
  <si>
    <t>Sharon Jameson</t>
  </si>
  <si>
    <t>Health Department</t>
  </si>
  <si>
    <t>Krista Celia</t>
  </si>
  <si>
    <t>COA Director</t>
  </si>
  <si>
    <t>Lorraine Moniz</t>
  </si>
  <si>
    <t>Outreach Coordinator</t>
  </si>
  <si>
    <t>NA</t>
  </si>
  <si>
    <t>Council on Aging</t>
  </si>
  <si>
    <t>Raymond Hague</t>
  </si>
  <si>
    <t>Veterans Agent</t>
  </si>
  <si>
    <t>Veterans Department</t>
  </si>
  <si>
    <t>HEALTH AND HUMAN SERVICES</t>
  </si>
  <si>
    <t>Carol Buote</t>
  </si>
  <si>
    <t>Director</t>
  </si>
  <si>
    <t>Amy McNamara</t>
  </si>
  <si>
    <t>Circulation Librarian PT</t>
  </si>
  <si>
    <t>Jennifer Bentley</t>
  </si>
  <si>
    <t>Children's Librarian PT</t>
  </si>
  <si>
    <t>Jessica N. Baptiste</t>
  </si>
  <si>
    <t>Technical Services Librarian PT</t>
  </si>
  <si>
    <t>CULTURE AND RECREATION</t>
  </si>
  <si>
    <t>COLA Financial Impact Analysis</t>
  </si>
  <si>
    <t>Exempt/Compensation &amp; Classification Plan Employees</t>
  </si>
  <si>
    <t xml:space="preserve">Using the summary data from the Position Control Sheet, enter total compensation </t>
  </si>
  <si>
    <t>subject to COLA increases by employee category to project the financial impact</t>
  </si>
  <si>
    <t>These calculations will provided the potential impact above the existing known costs</t>
  </si>
  <si>
    <t>Health and Human Services</t>
  </si>
  <si>
    <t>Culture and Recreation</t>
  </si>
  <si>
    <t>Total Exempt/Compensation Plan</t>
  </si>
  <si>
    <t>Financial Impact of COLA</t>
  </si>
  <si>
    <t>Individual Employment Contracts</t>
  </si>
  <si>
    <t>Town Administrator/Manager</t>
  </si>
  <si>
    <t>Police Chief</t>
  </si>
  <si>
    <t>Town Accountant</t>
  </si>
  <si>
    <t>Total Employment Contracts</t>
  </si>
  <si>
    <t>Collective Bargaining Agreements</t>
  </si>
  <si>
    <t>Police</t>
  </si>
  <si>
    <t>Firefighters</t>
  </si>
  <si>
    <t>Highway</t>
  </si>
  <si>
    <t>Communications</t>
  </si>
  <si>
    <t>Clerical</t>
  </si>
  <si>
    <t>Total CBA</t>
  </si>
  <si>
    <t>Elected Officials</t>
  </si>
  <si>
    <t>Board of Selectmen</t>
  </si>
  <si>
    <t>Board of Assessors</t>
  </si>
  <si>
    <t>Total Elected Officials</t>
  </si>
  <si>
    <t>Financial Impact of COLA - General Fund</t>
  </si>
  <si>
    <t>Enterprise Fund</t>
  </si>
  <si>
    <t>Non-union/Compensation &amp; Classification Plan Employees</t>
  </si>
  <si>
    <t>Employment Contracts</t>
  </si>
  <si>
    <t>Commissioners (Elected)</t>
  </si>
  <si>
    <t>Financial Impact of COLA - Enterprise Fund</t>
  </si>
  <si>
    <t>School Aid Analysis</t>
  </si>
  <si>
    <t>Foundation and Local Contribution</t>
  </si>
  <si>
    <t>Total Foundation Budget</t>
  </si>
  <si>
    <t>Total Minimum Local Contribution</t>
  </si>
  <si>
    <t xml:space="preserve">Apportionment of Local Contribution Across School Districts </t>
  </si>
  <si>
    <t>Percent Local School District</t>
  </si>
  <si>
    <r>
      <t xml:space="preserve">Percent </t>
    </r>
    <r>
      <rPr>
        <i/>
        <sz val="9"/>
        <rFont val="Calibri"/>
        <family val="2"/>
        <scheme val="minor"/>
      </rPr>
      <t>Total School District</t>
    </r>
  </si>
  <si>
    <t>Allocations on Foundation Shares</t>
  </si>
  <si>
    <t>Local School Foundation Budget</t>
  </si>
  <si>
    <t>Required District Contribution</t>
  </si>
  <si>
    <t>Foundation Aid</t>
  </si>
  <si>
    <t>Increase from prior year</t>
  </si>
  <si>
    <t>Target aid phase-in/Add. Aid Increment</t>
  </si>
  <si>
    <t>Aid after increment (held harmless)</t>
  </si>
  <si>
    <t>Local School District Foundation Enrollment</t>
  </si>
  <si>
    <t>$/Per Pupil Rate</t>
  </si>
  <si>
    <t>Per Pupil Aid</t>
  </si>
  <si>
    <t>Non-operating District Reduction to Foundation</t>
  </si>
  <si>
    <t>Chapter 70</t>
  </si>
  <si>
    <t>Required Net School Spending</t>
  </si>
  <si>
    <t>NSS Compliance (DESE Schedule 19)</t>
  </si>
  <si>
    <t>Budgeted School Committee Compliance</t>
  </si>
  <si>
    <t>Budgeted City/Town Compliance</t>
  </si>
  <si>
    <t>Less: Budgeted School Revenues</t>
  </si>
  <si>
    <t>School Committee Budgeted NSS</t>
  </si>
  <si>
    <r>
      <t>Over/</t>
    </r>
    <r>
      <rPr>
        <sz val="9"/>
        <color rgb="FFFF0000"/>
        <rFont val="Calibri"/>
        <family val="2"/>
        <scheme val="minor"/>
      </rPr>
      <t>(under)</t>
    </r>
    <r>
      <rPr>
        <sz val="9"/>
        <rFont val="Calibri"/>
        <family val="2"/>
        <scheme val="minor"/>
      </rPr>
      <t xml:space="preserve"> Required NSS</t>
    </r>
  </si>
  <si>
    <r>
      <t xml:space="preserve">DESE, Administration and Finance, Chapter 70 Program, Chapter 70 State Aid and Spending Requirement </t>
    </r>
    <r>
      <rPr>
        <b/>
        <sz val="8"/>
        <color rgb="FF00B050"/>
        <rFont val="Calibri"/>
        <family val="2"/>
        <scheme val="minor"/>
      </rPr>
      <t>Complete Formula</t>
    </r>
    <r>
      <rPr>
        <sz val="8"/>
        <color theme="1"/>
        <rFont val="Calibri"/>
        <family val="2"/>
        <scheme val="minor"/>
      </rPr>
      <t xml:space="preserve"> spreadsheets by fiscal year.</t>
    </r>
  </si>
  <si>
    <t>www.doe.mass.edu/finance/chapter70</t>
  </si>
  <si>
    <t>Figures the End of Year Report, Schedule 19 as approved by DESE.</t>
  </si>
  <si>
    <t>http://www.doe.mass.edu/finance/chapter70/compliance.html</t>
  </si>
  <si>
    <t>_____ Regional School District</t>
  </si>
  <si>
    <t>_____ Share of _____ RSD</t>
  </si>
  <si>
    <r>
      <t>Foundation Budget</t>
    </r>
    <r>
      <rPr>
        <b/>
        <sz val="8"/>
        <color theme="1"/>
        <rFont val="Calibri"/>
        <family val="2"/>
      </rPr>
      <t>①</t>
    </r>
  </si>
  <si>
    <t>Minimum Contribution (A)①</t>
  </si>
  <si>
    <r>
      <t>Additional Contribution (B)</t>
    </r>
    <r>
      <rPr>
        <b/>
        <sz val="8"/>
        <color theme="1"/>
        <rFont val="Calibri"/>
        <family val="2"/>
      </rPr>
      <t>②</t>
    </r>
  </si>
  <si>
    <r>
      <t>Transportation &amp; Other Non-NSS (C)</t>
    </r>
    <r>
      <rPr>
        <b/>
        <sz val="8"/>
        <color theme="1"/>
        <rFont val="Calibri"/>
        <family val="2"/>
      </rPr>
      <t>②</t>
    </r>
  </si>
  <si>
    <t>Budgeted Operating Assessment (A+B+C)</t>
  </si>
  <si>
    <r>
      <t>Capital &amp; Debt Assessment</t>
    </r>
    <r>
      <rPr>
        <b/>
        <sz val="8"/>
        <color theme="1"/>
        <rFont val="Calibri"/>
        <family val="2"/>
      </rPr>
      <t>②</t>
    </r>
  </si>
  <si>
    <t>Total Budgeted Assessments</t>
  </si>
  <si>
    <t>Total Assessment Incr/(Decr)</t>
  </si>
  <si>
    <t>5-yr change</t>
  </si>
  <si>
    <t>_____ RSD (All Members)</t>
  </si>
  <si>
    <r>
      <t>Minimum Contribution (A)</t>
    </r>
    <r>
      <rPr>
        <b/>
        <sz val="8"/>
        <color theme="1"/>
        <rFont val="Calibri"/>
        <family val="2"/>
      </rPr>
      <t>①</t>
    </r>
  </si>
  <si>
    <r>
      <t>Ch 70 (B)</t>
    </r>
    <r>
      <rPr>
        <b/>
        <sz val="8"/>
        <color theme="1"/>
        <rFont val="Calibri"/>
        <family val="2"/>
      </rPr>
      <t>①</t>
    </r>
  </si>
  <si>
    <t>Required Net School Spending (A+B)</t>
  </si>
  <si>
    <t>Budgeted Net School Spending③</t>
  </si>
  <si>
    <t>Spending Above NSS</t>
  </si>
  <si>
    <t>Required Local Contribution Incr/(Decr)</t>
  </si>
  <si>
    <t>Required Net School Spending Incr/(Decr)</t>
  </si>
  <si>
    <t xml:space="preserve">FY2018 </t>
  </si>
  <si>
    <r>
      <t>__RSD Member Foundation Enrollments</t>
    </r>
    <r>
      <rPr>
        <b/>
        <sz val="9"/>
        <color theme="0"/>
        <rFont val="Calibri"/>
        <family val="2"/>
      </rPr>
      <t>①</t>
    </r>
  </si>
  <si>
    <t>_____</t>
  </si>
  <si>
    <t xml:space="preserve">School Finance, Chapter 70 Program, Chapter 70 State Aid and Spending Requirement, </t>
  </si>
  <si>
    <t>DESE EOY report eoy## tab, Schedule 19C, Regional School District Approved Budget has the breakdown of each member's NSS and non-NSS costs.</t>
  </si>
  <si>
    <t xml:space="preserve">In the DESE End of Year (EOY) report, click on the reports tab. </t>
  </si>
  <si>
    <t xml:space="preserve">The district's budgeted NNS for the ensuing fiscal year is in cell E58 of Schedule 19. </t>
  </si>
  <si>
    <t>Choice and Charter</t>
  </si>
  <si>
    <t>School Choice Sending Enrollment</t>
  </si>
  <si>
    <t>School Choice Sending Tuition Assessment</t>
  </si>
  <si>
    <t>Charter School Enrollment</t>
  </si>
  <si>
    <t>Charter School Tuition Cost</t>
  </si>
  <si>
    <t>DESE, Administration and Finance, Funding &amp; Reimbursements, Inter-District School Choice, Inter-District School Choice Tuition spreadsheets</t>
  </si>
  <si>
    <t>http://www.doe.mass.edu/finance/schoolchoice/</t>
  </si>
  <si>
    <t>DESE, Administration and Finance, Charter Finance and Enrollment, Tuition, Reimbursements and Enrollment, Projected and Preliminary Charter School Tuition and Enrollment spreadsheets by fiscal year</t>
  </si>
  <si>
    <t>http://www.doe.mass.edu/charter/finance/tuition/</t>
  </si>
  <si>
    <t>CHARTER SCHOOL</t>
  </si>
  <si>
    <t>Budget to Actual Charter School Tuition</t>
  </si>
  <si>
    <t>Charter Tuition Assessments</t>
  </si>
  <si>
    <t>Students FTE</t>
  </si>
  <si>
    <t>Local Tuition Payment</t>
  </si>
  <si>
    <t>Facilities Aid</t>
  </si>
  <si>
    <t>Chapter 46 Aid Reimbursement</t>
  </si>
  <si>
    <t>Total Aid</t>
  </si>
  <si>
    <t>Net Cost to District</t>
  </si>
  <si>
    <t>Charter Tuition Assessments - ACTUAL</t>
  </si>
  <si>
    <t>Chapter 46 Aid</t>
  </si>
  <si>
    <t xml:space="preserve">SCHOOL CHOICE  </t>
  </si>
  <si>
    <t>Budget to Actual School Choice Out/In</t>
  </si>
  <si>
    <t>School Choice Sending Assessments</t>
  </si>
  <si>
    <t>FTE</t>
  </si>
  <si>
    <t>Tuition</t>
  </si>
  <si>
    <t>School Choice Sending Assessments - ACTUAL</t>
  </si>
  <si>
    <t>Final</t>
  </si>
  <si>
    <t>④⑤</t>
  </si>
  <si>
    <t>School Choice Receiving Tuition</t>
  </si>
  <si>
    <t>School Choice Receiving Tuition - ACTUAL</t>
  </si>
  <si>
    <t>Budgeted cherry sheet figures are based on the prior FY actual figures.</t>
  </si>
  <si>
    <t xml:space="preserve">All school choice tuition revenue received is deposited to a school choice revolving account and has no impact on the NSS. </t>
  </si>
  <si>
    <t>These funds are available for expenditure by the school committee without further appropriation.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</si>
</sst>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"/>
    <numFmt numFmtId="166" formatCode="0.000%"/>
    <numFmt numFmtId="167" formatCode="0.0000%"/>
    <numFmt numFmtId="168" formatCode="0.0%"/>
    <numFmt numFmtId="169" formatCode="m/d/yy;@"/>
    <numFmt numFmtId="170" formatCode="_(* #,##0_);_(* \(#,##0\);_(* &quot;-&quot;??_);_(@_)"/>
    <numFmt numFmtId="171" formatCode="[$-409]m/d/yy\ h:mm\ AM/PM;@"/>
    <numFmt numFmtId="172" formatCode="0.0%;[Red]\(0.0%\)"/>
    <numFmt numFmtId="173" formatCode="_(* #,##0.0000_);_(* \(#,##0.0000\);_(* &quot;-&quot;??_);_(@_)"/>
    <numFmt numFmtId="174" formatCode="mm/dd/yyyy"/>
    <numFmt numFmtId="175" formatCode="m/d/yyyy;@"/>
    <numFmt numFmtId="176" formatCode="_(&quot;$&quot;* #,##0_);_(&quot;$&quot;* \(#,##0\);_(&quot;$&quot;* &quot;-&quot;??_);_(@_)"/>
  </numFmts>
  <fonts count="7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FF"/>
      <name val="Calibri"/>
      <family val="2"/>
      <scheme val="minor"/>
    </font>
    <font>
      <i/>
      <sz val="9"/>
      <name val="Calibri"/>
      <family val="2"/>
      <scheme val="minor"/>
    </font>
    <font>
      <u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9"/>
      <color rgb="FF4C4C4C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</font>
    <font>
      <b/>
      <sz val="9"/>
      <color theme="0"/>
      <name val="Calibri"/>
      <family val="2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theme="0"/>
      <name val="Calibri"/>
      <family val="2"/>
      <scheme val="minor"/>
    </font>
    <font>
      <i/>
      <sz val="8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lightUp">
        <fgColor theme="0" tint="-0.499984740745262"/>
        <bgColor auto="1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E3BC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B8CCE4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gray0625">
        <bgColor theme="7" tint="0.79995117038483843"/>
      </patternFill>
    </fill>
    <fill>
      <patternFill patternType="gray0625"/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9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051">
    <xf numFmtId="0" fontId="0" fillId="0" borderId="0" xfId="0"/>
    <xf numFmtId="0" fontId="14" fillId="0" borderId="0" xfId="0" applyFont="1" applyProtection="1">
      <protection locked="0"/>
    </xf>
    <xf numFmtId="0" fontId="15" fillId="0" borderId="0" xfId="0" applyFont="1"/>
    <xf numFmtId="0" fontId="16" fillId="0" borderId="0" xfId="0" quotePrefix="1" applyFont="1"/>
    <xf numFmtId="0" fontId="14" fillId="0" borderId="0" xfId="0" applyFont="1"/>
    <xf numFmtId="0" fontId="18" fillId="0" borderId="0" xfId="0" quotePrefix="1" applyFont="1"/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 wrapText="1"/>
      <protection locked="0"/>
    </xf>
    <xf numFmtId="10" fontId="14" fillId="0" borderId="0" xfId="0" applyNumberFormat="1" applyFont="1" applyAlignment="1" applyProtection="1">
      <alignment horizontal="center"/>
      <protection locked="0"/>
    </xf>
    <xf numFmtId="3" fontId="19" fillId="0" borderId="0" xfId="0" applyNumberFormat="1" applyFont="1"/>
    <xf numFmtId="170" fontId="14" fillId="0" borderId="0" xfId="0" applyNumberFormat="1" applyFont="1"/>
    <xf numFmtId="0" fontId="17" fillId="0" borderId="0" xfId="0" applyFont="1"/>
    <xf numFmtId="0" fontId="18" fillId="0" borderId="0" xfId="0" applyFont="1"/>
    <xf numFmtId="170" fontId="14" fillId="0" borderId="0" xfId="1" applyNumberFormat="1" applyFont="1"/>
    <xf numFmtId="0" fontId="16" fillId="0" borderId="5" xfId="0" applyFont="1" applyBorder="1"/>
    <xf numFmtId="0" fontId="14" fillId="0" borderId="0" xfId="0" applyFont="1" applyAlignment="1">
      <alignment horizontal="left"/>
    </xf>
    <xf numFmtId="3" fontId="18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right" wrapText="1" readingOrder="1"/>
    </xf>
    <xf numFmtId="41" fontId="14" fillId="12" borderId="5" xfId="0" applyNumberFormat="1" applyFont="1" applyFill="1" applyBorder="1"/>
    <xf numFmtId="3" fontId="14" fillId="0" borderId="0" xfId="0" applyNumberFormat="1" applyFont="1" applyAlignment="1">
      <alignment horizontal="right"/>
    </xf>
    <xf numFmtId="41" fontId="16" fillId="0" borderId="0" xfId="0" applyNumberFormat="1" applyFont="1"/>
    <xf numFmtId="3" fontId="14" fillId="0" borderId="0" xfId="0" applyNumberFormat="1" applyFont="1"/>
    <xf numFmtId="3" fontId="16" fillId="0" borderId="0" xfId="0" applyNumberFormat="1" applyFont="1"/>
    <xf numFmtId="3" fontId="16" fillId="0" borderId="0" xfId="0" applyNumberFormat="1" applyFont="1" applyAlignment="1">
      <alignment horizontal="right" readingOrder="1"/>
    </xf>
    <xf numFmtId="41" fontId="14" fillId="0" borderId="0" xfId="0" applyNumberFormat="1" applyFont="1"/>
    <xf numFmtId="0" fontId="22" fillId="0" borderId="0" xfId="0" applyFont="1"/>
    <xf numFmtId="38" fontId="16" fillId="0" borderId="0" xfId="1" applyNumberFormat="1" applyFont="1"/>
    <xf numFmtId="38" fontId="14" fillId="0" borderId="0" xfId="1" applyNumberFormat="1" applyFont="1"/>
    <xf numFmtId="38" fontId="18" fillId="0" borderId="0" xfId="1" applyNumberFormat="1" applyFont="1"/>
    <xf numFmtId="38" fontId="16" fillId="0" borderId="0" xfId="1" applyNumberFormat="1" applyFont="1" applyAlignment="1">
      <alignment horizontal="center"/>
    </xf>
    <xf numFmtId="171" fontId="17" fillId="0" borderId="0" xfId="0" applyNumberFormat="1" applyFont="1" applyAlignment="1">
      <alignment horizontal="left"/>
    </xf>
    <xf numFmtId="0" fontId="18" fillId="4" borderId="5" xfId="0" applyFont="1" applyFill="1" applyBorder="1" applyAlignment="1">
      <alignment horizontal="right"/>
    </xf>
    <xf numFmtId="0" fontId="16" fillId="0" borderId="0" xfId="0" applyFont="1"/>
    <xf numFmtId="0" fontId="18" fillId="4" borderId="2" xfId="0" applyFont="1" applyFill="1" applyBorder="1"/>
    <xf numFmtId="0" fontId="18" fillId="0" borderId="0" xfId="0" applyFont="1" applyAlignment="1">
      <alignment horizontal="right"/>
    </xf>
    <xf numFmtId="0" fontId="14" fillId="0" borderId="6" xfId="0" applyFont="1" applyBorder="1"/>
    <xf numFmtId="14" fontId="16" fillId="0" borderId="0" xfId="1" applyNumberFormat="1" applyFont="1" applyAlignment="1">
      <alignment horizontal="center"/>
    </xf>
    <xf numFmtId="0" fontId="14" fillId="0" borderId="5" xfId="0" applyFont="1" applyBorder="1"/>
    <xf numFmtId="0" fontId="25" fillId="0" borderId="0" xfId="0" applyFont="1"/>
    <xf numFmtId="170" fontId="25" fillId="0" borderId="0" xfId="1" applyNumberFormat="1" applyFont="1"/>
    <xf numFmtId="170" fontId="26" fillId="0" borderId="0" xfId="1" applyNumberFormat="1" applyFont="1"/>
    <xf numFmtId="0" fontId="26" fillId="0" borderId="0" xfId="0" applyFont="1"/>
    <xf numFmtId="167" fontId="26" fillId="0" borderId="0" xfId="0" applyNumberFormat="1" applyFont="1"/>
    <xf numFmtId="0" fontId="17" fillId="0" borderId="0" xfId="0" applyFont="1" applyAlignment="1">
      <alignment horizontal="left"/>
    </xf>
    <xf numFmtId="170" fontId="25" fillId="0" borderId="0" xfId="1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170" fontId="16" fillId="0" borderId="0" xfId="1" applyNumberFormat="1" applyFont="1"/>
    <xf numFmtId="170" fontId="16" fillId="0" borderId="0" xfId="1" applyNumberFormat="1" applyFont="1" applyProtection="1">
      <protection locked="0"/>
    </xf>
    <xf numFmtId="165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14" fontId="16" fillId="0" borderId="0" xfId="0" applyNumberFormat="1" applyFont="1" applyProtection="1">
      <protection locked="0"/>
    </xf>
    <xf numFmtId="170" fontId="19" fillId="0" borderId="0" xfId="1" applyNumberFormat="1" applyFont="1" applyAlignment="1" applyProtection="1">
      <alignment horizontal="center"/>
      <protection locked="0"/>
    </xf>
    <xf numFmtId="3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3" fontId="16" fillId="0" borderId="0" xfId="0" applyNumberFormat="1" applyFont="1" applyProtection="1">
      <protection locked="0"/>
    </xf>
    <xf numFmtId="3" fontId="19" fillId="0" borderId="0" xfId="0" applyNumberFormat="1" applyFont="1" applyAlignment="1">
      <alignment horizontal="right"/>
    </xf>
    <xf numFmtId="168" fontId="16" fillId="0" borderId="0" xfId="2" applyNumberFormat="1" applyFont="1" applyProtection="1">
      <protection locked="0"/>
    </xf>
    <xf numFmtId="10" fontId="16" fillId="2" borderId="0" xfId="0" applyNumberFormat="1" applyFont="1" applyFill="1" applyProtection="1">
      <protection locked="0"/>
    </xf>
    <xf numFmtId="3" fontId="30" fillId="0" borderId="0" xfId="4" applyNumberFormat="1" applyFont="1" applyAlignment="1">
      <alignment horizontal="left"/>
    </xf>
    <xf numFmtId="170" fontId="16" fillId="0" borderId="0" xfId="1" applyNumberFormat="1" applyFont="1" applyAlignment="1">
      <alignment horizontal="right"/>
    </xf>
    <xf numFmtId="170" fontId="15" fillId="0" borderId="0" xfId="1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41" fontId="19" fillId="0" borderId="0" xfId="0" applyNumberFormat="1" applyFont="1" applyAlignment="1">
      <alignment horizontal="right"/>
    </xf>
    <xf numFmtId="3" fontId="15" fillId="4" borderId="3" xfId="0" applyNumberFormat="1" applyFont="1" applyFill="1" applyBorder="1" applyAlignment="1">
      <alignment horizontal="left"/>
    </xf>
    <xf numFmtId="43" fontId="31" fillId="0" borderId="0" xfId="1" applyFont="1" applyAlignment="1">
      <alignment horizontal="right"/>
    </xf>
    <xf numFmtId="43" fontId="16" fillId="0" borderId="0" xfId="1" applyFont="1" applyProtection="1">
      <protection locked="0"/>
    </xf>
    <xf numFmtId="0" fontId="14" fillId="0" borderId="0" xfId="0" applyFont="1" applyAlignment="1">
      <alignment readingOrder="1"/>
    </xf>
    <xf numFmtId="0" fontId="14" fillId="0" borderId="0" xfId="0" applyFont="1" applyAlignment="1" applyProtection="1">
      <alignment readingOrder="1"/>
      <protection locked="0"/>
    </xf>
    <xf numFmtId="3" fontId="14" fillId="0" borderId="0" xfId="0" applyNumberFormat="1" applyFont="1" applyProtection="1">
      <protection locked="0"/>
    </xf>
    <xf numFmtId="3" fontId="18" fillId="4" borderId="5" xfId="0" applyNumberFormat="1" applyFont="1" applyFill="1" applyBorder="1" applyAlignment="1">
      <alignment horizontal="right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quotePrefix="1" applyFont="1" applyAlignment="1">
      <alignment horizontal="left"/>
    </xf>
    <xf numFmtId="170" fontId="16" fillId="0" borderId="0" xfId="1" applyNumberFormat="1" applyFont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170" fontId="16" fillId="0" borderId="0" xfId="1" applyNumberFormat="1" applyFont="1" applyAlignment="1" applyProtection="1">
      <alignment horizontal="center"/>
      <protection locked="0"/>
    </xf>
    <xf numFmtId="3" fontId="16" fillId="0" borderId="5" xfId="0" applyNumberFormat="1" applyFont="1" applyBorder="1"/>
    <xf numFmtId="166" fontId="16" fillId="0" borderId="0" xfId="0" applyNumberFormat="1" applyFont="1" applyProtection="1">
      <protection locked="0"/>
    </xf>
    <xf numFmtId="170" fontId="16" fillId="0" borderId="0" xfId="0" applyNumberFormat="1" applyFont="1" applyProtection="1">
      <protection locked="0"/>
    </xf>
    <xf numFmtId="3" fontId="16" fillId="0" borderId="5" xfId="0" applyNumberFormat="1" applyFont="1" applyBorder="1" applyAlignment="1">
      <alignment horizontal="left"/>
    </xf>
    <xf numFmtId="10" fontId="16" fillId="0" borderId="0" xfId="2" applyNumberFormat="1" applyFont="1" applyProtection="1">
      <protection locked="0"/>
    </xf>
    <xf numFmtId="3" fontId="18" fillId="0" borderId="0" xfId="0" applyNumberFormat="1" applyFont="1" applyAlignment="1">
      <alignment horizontal="right"/>
    </xf>
    <xf numFmtId="168" fontId="16" fillId="0" borderId="0" xfId="0" applyNumberFormat="1" applyFont="1"/>
    <xf numFmtId="10" fontId="16" fillId="0" borderId="0" xfId="0" applyNumberFormat="1" applyFont="1"/>
    <xf numFmtId="167" fontId="16" fillId="0" borderId="0" xfId="0" applyNumberFormat="1" applyFont="1" applyProtection="1">
      <protection locked="0"/>
    </xf>
    <xf numFmtId="0" fontId="16" fillId="0" borderId="0" xfId="0" quotePrefix="1" applyFont="1" applyAlignment="1">
      <alignment horizontal="center"/>
    </xf>
    <xf numFmtId="170" fontId="16" fillId="0" borderId="0" xfId="1" quotePrefix="1" applyNumberFormat="1" applyFont="1" applyAlignment="1" applyProtection="1">
      <alignment horizontal="center"/>
      <protection locked="0"/>
    </xf>
    <xf numFmtId="0" fontId="23" fillId="0" borderId="0" xfId="0" applyFont="1"/>
    <xf numFmtId="0" fontId="33" fillId="0" borderId="0" xfId="0" applyFont="1"/>
    <xf numFmtId="3" fontId="23" fillId="0" borderId="0" xfId="0" applyNumberFormat="1" applyFont="1"/>
    <xf numFmtId="3" fontId="22" fillId="0" borderId="0" xfId="0" applyNumberFormat="1" applyFont="1"/>
    <xf numFmtId="37" fontId="23" fillId="0" borderId="0" xfId="0" applyNumberFormat="1" applyFont="1"/>
    <xf numFmtId="43" fontId="19" fillId="0" borderId="0" xfId="1" applyFont="1" applyAlignment="1">
      <alignment horizontal="left"/>
    </xf>
    <xf numFmtId="165" fontId="16" fillId="0" borderId="0" xfId="0" applyNumberFormat="1" applyFont="1"/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5" xfId="0" applyNumberFormat="1" applyFont="1" applyBorder="1" applyAlignment="1">
      <alignment horizontal="left" indent="1"/>
    </xf>
    <xf numFmtId="0" fontId="14" fillId="0" borderId="5" xfId="0" applyFont="1" applyBorder="1" applyAlignment="1">
      <alignment horizontal="left" indent="1"/>
    </xf>
    <xf numFmtId="3" fontId="19" fillId="0" borderId="5" xfId="0" applyNumberFormat="1" applyFont="1" applyBorder="1" applyAlignment="1">
      <alignment horizontal="left" indent="2"/>
    </xf>
    <xf numFmtId="170" fontId="16" fillId="0" borderId="5" xfId="1" applyNumberFormat="1" applyFont="1" applyBorder="1"/>
    <xf numFmtId="0" fontId="16" fillId="0" borderId="5" xfId="0" applyFont="1" applyBorder="1" applyAlignment="1">
      <alignment horizontal="left" indent="1"/>
    </xf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7" fillId="0" borderId="0" xfId="0" applyFont="1" applyAlignment="1">
      <alignment horizontal="right"/>
    </xf>
    <xf numFmtId="43" fontId="14" fillId="0" borderId="0" xfId="1" applyFont="1"/>
    <xf numFmtId="170" fontId="22" fillId="0" borderId="0" xfId="1" applyNumberFormat="1" applyFont="1"/>
    <xf numFmtId="10" fontId="16" fillId="0" borderId="0" xfId="2" applyNumberFormat="1" applyFont="1"/>
    <xf numFmtId="3" fontId="18" fillId="0" borderId="0" xfId="0" applyNumberFormat="1" applyFont="1" applyAlignment="1">
      <alignment horizontal="left"/>
    </xf>
    <xf numFmtId="170" fontId="18" fillId="0" borderId="0" xfId="1" applyNumberFormat="1" applyFont="1" applyAlignment="1">
      <alignment horizontal="left"/>
    </xf>
    <xf numFmtId="170" fontId="16" fillId="0" borderId="0" xfId="1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4" fontId="16" fillId="0" borderId="0" xfId="0" applyNumberFormat="1" applyFont="1"/>
    <xf numFmtId="170" fontId="16" fillId="0" borderId="0" xfId="1" applyNumberFormat="1" applyFont="1" applyAlignment="1">
      <alignment horizontal="center"/>
    </xf>
    <xf numFmtId="170" fontId="16" fillId="0" borderId="5" xfId="1" applyNumberFormat="1" applyFont="1" applyBorder="1" applyAlignment="1">
      <alignment horizontal="left"/>
    </xf>
    <xf numFmtId="170" fontId="16" fillId="0" borderId="5" xfId="1" applyNumberFormat="1" applyFont="1" applyBorder="1" applyAlignment="1">
      <alignment horizontal="right"/>
    </xf>
    <xf numFmtId="43" fontId="18" fillId="4" borderId="5" xfId="1" applyFont="1" applyFill="1" applyBorder="1" applyAlignment="1">
      <alignment horizontal="right"/>
    </xf>
    <xf numFmtId="170" fontId="16" fillId="4" borderId="5" xfId="1" applyNumberFormat="1" applyFont="1" applyFill="1" applyBorder="1" applyAlignment="1">
      <alignment horizontal="right"/>
    </xf>
    <xf numFmtId="43" fontId="16" fillId="0" borderId="0" xfId="1" applyFont="1"/>
    <xf numFmtId="43" fontId="18" fillId="0" borderId="5" xfId="1" applyFont="1" applyBorder="1" applyAlignment="1">
      <alignment horizontal="left"/>
    </xf>
    <xf numFmtId="170" fontId="18" fillId="0" borderId="5" xfId="1" applyNumberFormat="1" applyFont="1" applyBorder="1" applyAlignment="1">
      <alignment horizontal="left"/>
    </xf>
    <xf numFmtId="43" fontId="18" fillId="0" borderId="0" xfId="1" applyFont="1" applyAlignment="1">
      <alignment horizontal="left"/>
    </xf>
    <xf numFmtId="170" fontId="16" fillId="4" borderId="5" xfId="1" applyNumberFormat="1" applyFont="1" applyFill="1" applyBorder="1"/>
    <xf numFmtId="170" fontId="18" fillId="0" borderId="0" xfId="1" applyNumberFormat="1" applyFont="1"/>
    <xf numFmtId="3" fontId="18" fillId="0" borderId="5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170" fontId="23" fillId="0" borderId="0" xfId="1" applyNumberFormat="1" applyFont="1"/>
    <xf numFmtId="170" fontId="18" fillId="0" borderId="5" xfId="1" applyNumberFormat="1" applyFont="1" applyBorder="1"/>
    <xf numFmtId="170" fontId="22" fillId="0" borderId="5" xfId="1" applyNumberFormat="1" applyFont="1" applyBorder="1"/>
    <xf numFmtId="170" fontId="22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164" fontId="16" fillId="0" borderId="5" xfId="0" applyNumberFormat="1" applyFont="1" applyBorder="1"/>
    <xf numFmtId="3" fontId="18" fillId="3" borderId="0" xfId="0" applyNumberFormat="1" applyFont="1" applyFill="1" applyAlignment="1">
      <alignment horizontal="left"/>
    </xf>
    <xf numFmtId="3" fontId="18" fillId="4" borderId="5" xfId="0" applyNumberFormat="1" applyFont="1" applyFill="1" applyBorder="1" applyAlignment="1">
      <alignment horizontal="left"/>
    </xf>
    <xf numFmtId="170" fontId="24" fillId="0" borderId="0" xfId="1" applyNumberFormat="1" applyFont="1"/>
    <xf numFmtId="3" fontId="16" fillId="0" borderId="0" xfId="1" applyNumberFormat="1" applyFont="1"/>
    <xf numFmtId="3" fontId="14" fillId="0" borderId="0" xfId="0" applyNumberFormat="1" applyFont="1" applyAlignment="1">
      <alignment horizontal="left"/>
    </xf>
    <xf numFmtId="170" fontId="14" fillId="0" borderId="0" xfId="1" applyNumberFormat="1" applyFont="1" applyAlignment="1">
      <alignment horizontal="left"/>
    </xf>
    <xf numFmtId="167" fontId="14" fillId="0" borderId="0" xfId="0" applyNumberFormat="1" applyFont="1" applyAlignment="1">
      <alignment horizontal="center"/>
    </xf>
    <xf numFmtId="167" fontId="14" fillId="0" borderId="0" xfId="0" applyNumberFormat="1" applyFont="1"/>
    <xf numFmtId="170" fontId="14" fillId="0" borderId="0" xfId="1" applyNumberFormat="1" applyFont="1" applyAlignment="1">
      <alignment horizontal="center"/>
    </xf>
    <xf numFmtId="0" fontId="17" fillId="0" borderId="0" xfId="0" applyFont="1" applyAlignment="1">
      <alignment wrapText="1"/>
    </xf>
    <xf numFmtId="170" fontId="17" fillId="0" borderId="0" xfId="1" applyNumberFormat="1" applyFont="1"/>
    <xf numFmtId="170" fontId="17" fillId="0" borderId="0" xfId="1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wrapText="1"/>
    </xf>
    <xf numFmtId="10" fontId="14" fillId="0" borderId="0" xfId="0" applyNumberFormat="1" applyFont="1"/>
    <xf numFmtId="0" fontId="17" fillId="4" borderId="5" xfId="0" applyFont="1" applyFill="1" applyBorder="1" applyAlignment="1">
      <alignment horizontal="right" wrapText="1"/>
    </xf>
    <xf numFmtId="167" fontId="17" fillId="0" borderId="0" xfId="0" applyNumberFormat="1" applyFont="1"/>
    <xf numFmtId="0" fontId="17" fillId="0" borderId="0" xfId="0" applyFont="1" applyAlignment="1">
      <alignment horizontal="center" wrapText="1"/>
    </xf>
    <xf numFmtId="170" fontId="14" fillId="0" borderId="0" xfId="1" quotePrefix="1" applyNumberFormat="1" applyFont="1" applyAlignment="1">
      <alignment horizontal="center"/>
    </xf>
    <xf numFmtId="170" fontId="14" fillId="0" borderId="1" xfId="1" quotePrefix="1" applyNumberFormat="1" applyFont="1" applyBorder="1" applyAlignment="1">
      <alignment horizontal="center"/>
    </xf>
    <xf numFmtId="170" fontId="17" fillId="0" borderId="0" xfId="1" applyNumberFormat="1" applyFont="1" applyAlignment="1">
      <alignment horizontal="center" wrapText="1"/>
    </xf>
    <xf numFmtId="167" fontId="26" fillId="0" borderId="0" xfId="0" applyNumberFormat="1" applyFont="1" applyAlignment="1">
      <alignment horizontal="center"/>
    </xf>
    <xf numFmtId="169" fontId="17" fillId="0" borderId="1" xfId="0" applyNumberFormat="1" applyFont="1" applyBorder="1" applyAlignment="1">
      <alignment horizontal="right"/>
    </xf>
    <xf numFmtId="169" fontId="14" fillId="0" borderId="0" xfId="0" applyNumberFormat="1" applyFont="1"/>
    <xf numFmtId="37" fontId="14" fillId="0" borderId="0" xfId="0" applyNumberFormat="1" applyFont="1"/>
    <xf numFmtId="37" fontId="14" fillId="0" borderId="0" xfId="0" applyNumberFormat="1" applyFont="1" applyAlignment="1">
      <alignment wrapText="1"/>
    </xf>
    <xf numFmtId="168" fontId="14" fillId="0" borderId="0" xfId="1" applyNumberFormat="1" applyFont="1"/>
    <xf numFmtId="10" fontId="14" fillId="2" borderId="0" xfId="2" applyNumberFormat="1" applyFont="1" applyFill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7" fontId="36" fillId="0" borderId="0" xfId="0" applyNumberFormat="1" applyFont="1" applyAlignment="1">
      <alignment wrapText="1"/>
    </xf>
    <xf numFmtId="41" fontId="16" fillId="0" borderId="5" xfId="0" applyNumberFormat="1" applyFont="1" applyBorder="1"/>
    <xf numFmtId="41" fontId="14" fillId="0" borderId="5" xfId="0" applyNumberFormat="1" applyFont="1" applyBorder="1"/>
    <xf numFmtId="41" fontId="16" fillId="0" borderId="5" xfId="1" applyNumberFormat="1" applyFont="1" applyBorder="1"/>
    <xf numFmtId="41" fontId="19" fillId="0" borderId="0" xfId="1" applyNumberFormat="1" applyFont="1"/>
    <xf numFmtId="41" fontId="16" fillId="0" borderId="0" xfId="1" applyNumberFormat="1" applyFont="1" applyProtection="1">
      <protection locked="0"/>
    </xf>
    <xf numFmtId="164" fontId="16" fillId="0" borderId="0" xfId="0" applyNumberFormat="1" applyFont="1" applyAlignment="1">
      <alignment horizontal="center"/>
    </xf>
    <xf numFmtId="170" fontId="19" fillId="0" borderId="0" xfId="1" applyNumberFormat="1" applyFont="1" applyAlignment="1">
      <alignment horizontal="center"/>
    </xf>
    <xf numFmtId="170" fontId="28" fillId="0" borderId="0" xfId="1" applyNumberFormat="1" applyFont="1"/>
    <xf numFmtId="170" fontId="16" fillId="0" borderId="0" xfId="1" applyNumberFormat="1" applyFont="1" applyAlignment="1">
      <alignment horizontal="center" wrapText="1"/>
    </xf>
    <xf numFmtId="170" fontId="16" fillId="0" borderId="0" xfId="1" quotePrefix="1" applyNumberFormat="1" applyFont="1" applyAlignment="1">
      <alignment horizontal="center"/>
    </xf>
    <xf numFmtId="4" fontId="14" fillId="0" borderId="0" xfId="0" applyNumberFormat="1" applyFont="1"/>
    <xf numFmtId="41" fontId="19" fillId="0" borderId="5" xfId="0" applyNumberFormat="1" applyFont="1" applyBorder="1"/>
    <xf numFmtId="41" fontId="19" fillId="0" borderId="5" xfId="0" applyNumberFormat="1" applyFont="1" applyBorder="1" applyAlignment="1">
      <alignment horizontal="right"/>
    </xf>
    <xf numFmtId="38" fontId="18" fillId="0" borderId="0" xfId="0" applyNumberFormat="1" applyFont="1" applyProtection="1">
      <protection locked="0"/>
    </xf>
    <xf numFmtId="170" fontId="16" fillId="0" borderId="0" xfId="1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 shrinkToFit="1"/>
    </xf>
    <xf numFmtId="3" fontId="18" fillId="0" borderId="0" xfId="0" applyNumberFormat="1" applyFont="1" applyProtection="1">
      <protection locked="0"/>
    </xf>
    <xf numFmtId="41" fontId="18" fillId="0" borderId="0" xfId="0" applyNumberFormat="1" applyFont="1" applyProtection="1">
      <protection locked="0"/>
    </xf>
    <xf numFmtId="3" fontId="16" fillId="0" borderId="0" xfId="0" applyNumberFormat="1" applyFont="1" applyAlignment="1">
      <alignment vertical="top"/>
    </xf>
    <xf numFmtId="38" fontId="16" fillId="0" borderId="0" xfId="0" applyNumberFormat="1" applyFont="1"/>
    <xf numFmtId="38" fontId="14" fillId="0" borderId="0" xfId="0" applyNumberFormat="1" applyFont="1"/>
    <xf numFmtId="0" fontId="34" fillId="0" borderId="0" xfId="0" applyFont="1" applyProtection="1">
      <protection locked="0"/>
    </xf>
    <xf numFmtId="41" fontId="19" fillId="0" borderId="5" xfId="1" applyNumberFormat="1" applyFont="1" applyBorder="1"/>
    <xf numFmtId="41" fontId="19" fillId="0" borderId="0" xfId="0" applyNumberFormat="1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38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8" fontId="14" fillId="0" borderId="0" xfId="0" applyNumberFormat="1" applyFont="1" applyAlignment="1">
      <alignment vertical="center"/>
    </xf>
    <xf numFmtId="170" fontId="16" fillId="0" borderId="0" xfId="0" applyNumberFormat="1" applyFont="1"/>
    <xf numFmtId="170" fontId="22" fillId="0" borderId="0" xfId="1" applyNumberFormat="1" applyFont="1" applyProtection="1">
      <protection locked="0"/>
    </xf>
    <xf numFmtId="170" fontId="18" fillId="0" borderId="0" xfId="1" applyNumberFormat="1" applyFont="1" applyAlignment="1" applyProtection="1">
      <alignment horizontal="left"/>
      <protection locked="0"/>
    </xf>
    <xf numFmtId="0" fontId="39" fillId="0" borderId="0" xfId="0" applyFont="1" applyProtection="1">
      <protection locked="0"/>
    </xf>
    <xf numFmtId="41" fontId="17" fillId="0" borderId="0" xfId="0" applyNumberFormat="1" applyFont="1"/>
    <xf numFmtId="3" fontId="14" fillId="0" borderId="0" xfId="1" applyNumberFormat="1" applyFont="1"/>
    <xf numFmtId="3" fontId="14" fillId="0" borderId="0" xfId="1" applyNumberFormat="1" applyFont="1" applyProtection="1">
      <protection locked="0"/>
    </xf>
    <xf numFmtId="41" fontId="14" fillId="0" borderId="5" xfId="1" applyNumberFormat="1" applyFont="1" applyBorder="1"/>
    <xf numFmtId="0" fontId="17" fillId="0" borderId="0" xfId="0" applyFont="1" applyAlignment="1">
      <alignment horizontal="left" wrapText="1"/>
    </xf>
    <xf numFmtId="0" fontId="40" fillId="0" borderId="0" xfId="0" applyFont="1" applyProtection="1">
      <protection locked="0"/>
    </xf>
    <xf numFmtId="0" fontId="41" fillId="0" borderId="0" xfId="0" applyFont="1" applyProtection="1">
      <protection locked="0"/>
    </xf>
    <xf numFmtId="41" fontId="16" fillId="0" borderId="0" xfId="1" applyNumberFormat="1" applyFont="1"/>
    <xf numFmtId="0" fontId="36" fillId="0" borderId="0" xfId="0" applyFont="1" applyAlignment="1" applyProtection="1">
      <alignment horizontal="center" readingOrder="1"/>
      <protection locked="0"/>
    </xf>
    <xf numFmtId="41" fontId="40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3" fontId="36" fillId="0" borderId="0" xfId="0" applyNumberFormat="1" applyFont="1" applyAlignment="1" applyProtection="1">
      <alignment horizontal="center" readingOrder="1"/>
      <protection locked="0"/>
    </xf>
    <xf numFmtId="3" fontId="36" fillId="0" borderId="0" xfId="0" applyNumberFormat="1" applyFont="1" applyAlignment="1">
      <alignment horizontal="center" readingOrder="1"/>
    </xf>
    <xf numFmtId="0" fontId="43" fillId="0" borderId="0" xfId="0" applyFont="1"/>
    <xf numFmtId="43" fontId="40" fillId="0" borderId="0" xfId="1" applyFo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wrapText="1"/>
      <protection locked="0"/>
    </xf>
    <xf numFmtId="170" fontId="40" fillId="0" borderId="0" xfId="1" applyNumberFormat="1" applyFont="1" applyAlignment="1">
      <alignment horizontal="left"/>
    </xf>
    <xf numFmtId="0" fontId="17" fillId="8" borderId="5" xfId="0" applyFont="1" applyFill="1" applyBorder="1" applyAlignment="1">
      <alignment horizontal="right" wrapText="1"/>
    </xf>
    <xf numFmtId="41" fontId="16" fillId="10" borderId="5" xfId="0" applyNumberFormat="1" applyFont="1" applyFill="1" applyBorder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169" fontId="36" fillId="0" borderId="0" xfId="0" applyNumberFormat="1" applyFont="1"/>
    <xf numFmtId="37" fontId="36" fillId="0" borderId="0" xfId="0" applyNumberFormat="1" applyFont="1"/>
    <xf numFmtId="41" fontId="14" fillId="0" borderId="5" xfId="0" applyNumberFormat="1" applyFont="1" applyBorder="1" applyAlignment="1">
      <alignment readingOrder="1"/>
    </xf>
    <xf numFmtId="41" fontId="16" fillId="0" borderId="5" xfId="0" applyNumberFormat="1" applyFont="1" applyBorder="1" applyAlignment="1">
      <alignment readingOrder="1"/>
    </xf>
    <xf numFmtId="10" fontId="14" fillId="4" borderId="5" xfId="1" applyNumberFormat="1" applyFont="1" applyFill="1" applyBorder="1"/>
    <xf numFmtId="3" fontId="19" fillId="0" borderId="5" xfId="0" applyNumberFormat="1" applyFont="1" applyBorder="1" applyAlignment="1">
      <alignment horizontal="left"/>
    </xf>
    <xf numFmtId="37" fontId="45" fillId="0" borderId="0" xfId="0" applyNumberFormat="1" applyFont="1"/>
    <xf numFmtId="0" fontId="14" fillId="0" borderId="0" xfId="0" applyFont="1" applyAlignment="1">
      <alignment wrapText="1"/>
    </xf>
    <xf numFmtId="41" fontId="14" fillId="0" borderId="9" xfId="0" applyNumberFormat="1" applyFont="1" applyBorder="1"/>
    <xf numFmtId="14" fontId="14" fillId="0" borderId="0" xfId="0" applyNumberFormat="1" applyFont="1" applyAlignment="1">
      <alignment horizontal="center"/>
    </xf>
    <xf numFmtId="0" fontId="32" fillId="0" borderId="0" xfId="0" applyFont="1" applyAlignment="1">
      <alignment horizontal="right" wrapText="1" readingOrder="1"/>
    </xf>
    <xf numFmtId="0" fontId="46" fillId="10" borderId="0" xfId="0" applyFont="1" applyFill="1" applyAlignment="1">
      <alignment horizontal="center" vertical="center"/>
    </xf>
    <xf numFmtId="38" fontId="46" fillId="10" borderId="0" xfId="0" applyNumberFormat="1" applyFont="1" applyFill="1" applyAlignment="1">
      <alignment vertical="center"/>
    </xf>
    <xf numFmtId="38" fontId="16" fillId="10" borderId="0" xfId="0" applyNumberFormat="1" applyFont="1" applyFill="1" applyAlignment="1">
      <alignment vertical="center"/>
    </xf>
    <xf numFmtId="41" fontId="16" fillId="10" borderId="5" xfId="0" applyNumberFormat="1" applyFont="1" applyFill="1" applyBorder="1" applyAlignment="1">
      <alignment horizontal="right" vertical="center"/>
    </xf>
    <xf numFmtId="41" fontId="21" fillId="0" borderId="5" xfId="0" applyNumberFormat="1" applyFont="1" applyBorder="1" applyAlignment="1">
      <alignment wrapText="1" readingOrder="1"/>
    </xf>
    <xf numFmtId="41" fontId="23" fillId="0" borderId="0" xfId="0" applyNumberFormat="1" applyFont="1"/>
    <xf numFmtId="0" fontId="14" fillId="0" borderId="1" xfId="0" applyFont="1" applyBorder="1"/>
    <xf numFmtId="0" fontId="14" fillId="10" borderId="0" xfId="0" applyFont="1" applyFill="1"/>
    <xf numFmtId="41" fontId="14" fillId="10" borderId="0" xfId="0" applyNumberFormat="1" applyFont="1" applyFill="1"/>
    <xf numFmtId="0" fontId="14" fillId="10" borderId="0" xfId="0" applyFont="1" applyFill="1" applyAlignment="1">
      <alignment horizontal="left"/>
    </xf>
    <xf numFmtId="0" fontId="17" fillId="10" borderId="0" xfId="0" applyFont="1" applyFill="1"/>
    <xf numFmtId="168" fontId="16" fillId="0" borderId="0" xfId="1" applyNumberFormat="1" applyFont="1"/>
    <xf numFmtId="10" fontId="14" fillId="10" borderId="0" xfId="0" applyNumberFormat="1" applyFont="1" applyFill="1" applyAlignment="1" applyProtection="1">
      <alignment horizontal="center"/>
      <protection locked="0"/>
    </xf>
    <xf numFmtId="3" fontId="15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  <xf numFmtId="38" fontId="14" fillId="0" borderId="0" xfId="1" applyNumberFormat="1" applyFont="1" applyAlignment="1">
      <alignment horizontal="center"/>
    </xf>
    <xf numFmtId="0" fontId="14" fillId="10" borderId="5" xfId="0" applyFont="1" applyFill="1" applyBorder="1" applyAlignment="1">
      <alignment horizontal="justify" vertical="center" wrapText="1"/>
    </xf>
    <xf numFmtId="9" fontId="16" fillId="0" borderId="5" xfId="2" applyFont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40" fontId="14" fillId="0" borderId="0" xfId="0" applyNumberFormat="1" applyFont="1"/>
    <xf numFmtId="10" fontId="16" fillId="0" borderId="0" xfId="1" applyNumberFormat="1" applyFont="1"/>
    <xf numFmtId="170" fontId="16" fillId="0" borderId="0" xfId="2" applyNumberFormat="1" applyFont="1"/>
    <xf numFmtId="0" fontId="37" fillId="0" borderId="0" xfId="0" applyFont="1"/>
    <xf numFmtId="0" fontId="14" fillId="10" borderId="5" xfId="0" applyFont="1" applyFill="1" applyBorder="1"/>
    <xf numFmtId="10" fontId="16" fillId="0" borderId="0" xfId="2" applyNumberFormat="1" applyFont="1" applyAlignment="1">
      <alignment horizontal="center"/>
    </xf>
    <xf numFmtId="3" fontId="15" fillId="4" borderId="3" xfId="0" applyNumberFormat="1" applyFont="1" applyFill="1" applyBorder="1" applyAlignment="1">
      <alignment horizontal="right"/>
    </xf>
    <xf numFmtId="41" fontId="19" fillId="4" borderId="3" xfId="0" applyNumberFormat="1" applyFont="1" applyFill="1" applyBorder="1" applyAlignment="1">
      <alignment horizontal="right"/>
    </xf>
    <xf numFmtId="41" fontId="46" fillId="0" borderId="0" xfId="1" applyNumberFormat="1" applyFont="1"/>
    <xf numFmtId="0" fontId="17" fillId="4" borderId="2" xfId="0" applyFont="1" applyFill="1" applyBorder="1" applyAlignment="1">
      <alignment horizontal="right"/>
    </xf>
    <xf numFmtId="0" fontId="14" fillId="10" borderId="0" xfId="0" applyFont="1" applyFill="1" applyAlignment="1" applyProtection="1">
      <alignment readingOrder="1"/>
      <protection locked="0"/>
    </xf>
    <xf numFmtId="0" fontId="14" fillId="10" borderId="0" xfId="0" applyFont="1" applyFill="1" applyProtection="1">
      <protection locked="0"/>
    </xf>
    <xf numFmtId="0" fontId="16" fillId="10" borderId="0" xfId="0" applyFont="1" applyFill="1" applyAlignment="1">
      <alignment horizontal="center"/>
    </xf>
    <xf numFmtId="38" fontId="16" fillId="10" borderId="1" xfId="0" applyNumberFormat="1" applyFont="1" applyFill="1" applyBorder="1" applyAlignment="1">
      <alignment horizontal="center"/>
    </xf>
    <xf numFmtId="41" fontId="19" fillId="10" borderId="5" xfId="0" applyNumberFormat="1" applyFont="1" applyFill="1" applyBorder="1"/>
    <xf numFmtId="0" fontId="36" fillId="10" borderId="0" xfId="0" applyFont="1" applyFill="1" applyAlignment="1" applyProtection="1">
      <alignment horizontal="center" readingOrder="1"/>
      <protection locked="0"/>
    </xf>
    <xf numFmtId="0" fontId="14" fillId="10" borderId="0" xfId="0" applyFont="1" applyFill="1" applyAlignment="1">
      <alignment readingOrder="1"/>
    </xf>
    <xf numFmtId="0" fontId="32" fillId="10" borderId="4" xfId="0" applyFont="1" applyFill="1" applyBorder="1" applyAlignment="1">
      <alignment horizontal="left" readingOrder="1"/>
    </xf>
    <xf numFmtId="0" fontId="15" fillId="10" borderId="0" xfId="0" applyFont="1" applyFill="1"/>
    <xf numFmtId="0" fontId="36" fillId="10" borderId="0" xfId="0" applyFont="1" applyFill="1" applyAlignment="1">
      <alignment horizontal="center" readingOrder="1"/>
    </xf>
    <xf numFmtId="3" fontId="19" fillId="10" borderId="5" xfId="0" applyNumberFormat="1" applyFont="1" applyFill="1" applyBorder="1"/>
    <xf numFmtId="0" fontId="40" fillId="10" borderId="0" xfId="0" applyFont="1" applyFill="1" applyAlignment="1">
      <alignment horizontal="center" readingOrder="1"/>
    </xf>
    <xf numFmtId="41" fontId="19" fillId="10" borderId="5" xfId="0" applyNumberFormat="1" applyFont="1" applyFill="1" applyBorder="1" applyAlignment="1">
      <alignment horizontal="right"/>
    </xf>
    <xf numFmtId="41" fontId="16" fillId="10" borderId="5" xfId="0" applyNumberFormat="1" applyFont="1" applyFill="1" applyBorder="1" applyProtection="1">
      <protection locked="0"/>
    </xf>
    <xf numFmtId="3" fontId="19" fillId="10" borderId="11" xfId="0" applyNumberFormat="1" applyFont="1" applyFill="1" applyBorder="1"/>
    <xf numFmtId="41" fontId="19" fillId="10" borderId="5" xfId="1" applyNumberFormat="1" applyFont="1" applyFill="1" applyBorder="1"/>
    <xf numFmtId="3" fontId="19" fillId="10" borderId="5" xfId="0" applyNumberFormat="1" applyFont="1" applyFill="1" applyBorder="1" applyAlignment="1">
      <alignment horizontal="left"/>
    </xf>
    <xf numFmtId="0" fontId="36" fillId="10" borderId="0" xfId="0" applyFont="1" applyFill="1" applyAlignment="1">
      <alignment horizontal="center" wrapText="1" readingOrder="1"/>
    </xf>
    <xf numFmtId="3" fontId="15" fillId="14" borderId="5" xfId="0" applyNumberFormat="1" applyFont="1" applyFill="1" applyBorder="1" applyAlignment="1">
      <alignment horizontal="right"/>
    </xf>
    <xf numFmtId="41" fontId="19" fillId="14" borderId="7" xfId="0" applyNumberFormat="1" applyFont="1" applyFill="1" applyBorder="1"/>
    <xf numFmtId="41" fontId="19" fillId="14" borderId="5" xfId="0" applyNumberFormat="1" applyFont="1" applyFill="1" applyBorder="1"/>
    <xf numFmtId="3" fontId="16" fillId="10" borderId="5" xfId="0" applyNumberFormat="1" applyFont="1" applyFill="1" applyBorder="1" applyAlignment="1">
      <alignment horizontal="left"/>
    </xf>
    <xf numFmtId="41" fontId="16" fillId="10" borderId="5" xfId="1" applyNumberFormat="1" applyFont="1" applyFill="1" applyBorder="1"/>
    <xf numFmtId="41" fontId="40" fillId="10" borderId="0" xfId="0" applyNumberFormat="1" applyFont="1" applyFill="1" applyAlignment="1" applyProtection="1">
      <alignment horizontal="center"/>
      <protection locked="0"/>
    </xf>
    <xf numFmtId="41" fontId="16" fillId="10" borderId="5" xfId="0" applyNumberFormat="1" applyFont="1" applyFill="1" applyBorder="1"/>
    <xf numFmtId="3" fontId="18" fillId="16" borderId="5" xfId="0" applyNumberFormat="1" applyFont="1" applyFill="1" applyBorder="1" applyAlignment="1">
      <alignment horizontal="right"/>
    </xf>
    <xf numFmtId="41" fontId="18" fillId="16" borderId="5" xfId="0" applyNumberFormat="1" applyFont="1" applyFill="1" applyBorder="1"/>
    <xf numFmtId="172" fontId="34" fillId="10" borderId="0" xfId="2" applyNumberFormat="1" applyFont="1" applyFill="1" applyProtection="1">
      <protection locked="0"/>
    </xf>
    <xf numFmtId="3" fontId="17" fillId="10" borderId="0" xfId="0" applyNumberFormat="1" applyFont="1" applyFill="1" applyProtection="1">
      <protection locked="0"/>
    </xf>
    <xf numFmtId="41" fontId="34" fillId="10" borderId="0" xfId="2" applyNumberFormat="1" applyFont="1" applyFill="1" applyProtection="1">
      <protection locked="0"/>
    </xf>
    <xf numFmtId="41" fontId="34" fillId="10" borderId="0" xfId="1" applyNumberFormat="1" applyFont="1" applyFill="1" applyProtection="1">
      <protection locked="0"/>
    </xf>
    <xf numFmtId="3" fontId="14" fillId="10" borderId="0" xfId="0" applyNumberFormat="1" applyFont="1" applyFill="1" applyProtection="1">
      <protection locked="0"/>
    </xf>
    <xf numFmtId="3" fontId="42" fillId="10" borderId="0" xfId="0" applyNumberFormat="1" applyFont="1" applyFill="1" applyAlignment="1" applyProtection="1">
      <alignment horizontal="center" readingOrder="1"/>
      <protection locked="0"/>
    </xf>
    <xf numFmtId="38" fontId="18" fillId="10" borderId="0" xfId="0" applyNumberFormat="1" applyFont="1" applyFill="1" applyProtection="1">
      <protection locked="0"/>
    </xf>
    <xf numFmtId="3" fontId="42" fillId="10" borderId="0" xfId="0" applyNumberFormat="1" applyFont="1" applyFill="1" applyAlignment="1" applyProtection="1">
      <alignment horizontal="center"/>
      <protection locked="0"/>
    </xf>
    <xf numFmtId="3" fontId="14" fillId="10" borderId="5" xfId="0" applyNumberFormat="1" applyFont="1" applyFill="1" applyBorder="1" applyProtection="1">
      <protection locked="0"/>
    </xf>
    <xf numFmtId="38" fontId="16" fillId="10" borderId="0" xfId="0" applyNumberFormat="1" applyFont="1" applyFill="1" applyAlignment="1">
      <alignment horizontal="center"/>
    </xf>
    <xf numFmtId="3" fontId="21" fillId="10" borderId="5" xfId="0" applyNumberFormat="1" applyFont="1" applyFill="1" applyBorder="1" applyAlignment="1">
      <alignment horizontal="left" wrapText="1" readingOrder="1"/>
    </xf>
    <xf numFmtId="3" fontId="16" fillId="10" borderId="5" xfId="0" applyNumberFormat="1" applyFont="1" applyFill="1" applyBorder="1"/>
    <xf numFmtId="3" fontId="18" fillId="16" borderId="8" xfId="0" applyNumberFormat="1" applyFont="1" applyFill="1" applyBorder="1" applyAlignment="1">
      <alignment horizontal="right"/>
    </xf>
    <xf numFmtId="41" fontId="18" fillId="16" borderId="8" xfId="0" applyNumberFormat="1" applyFont="1" applyFill="1" applyBorder="1"/>
    <xf numFmtId="3" fontId="17" fillId="10" borderId="0" xfId="0" applyNumberFormat="1" applyFont="1" applyFill="1"/>
    <xf numFmtId="10" fontId="16" fillId="13" borderId="0" xfId="2" applyNumberFormat="1" applyFont="1" applyFill="1"/>
    <xf numFmtId="166" fontId="18" fillId="10" borderId="0" xfId="2" applyNumberFormat="1" applyFont="1" applyFill="1" applyProtection="1">
      <protection locked="0"/>
    </xf>
    <xf numFmtId="41" fontId="19" fillId="0" borderId="6" xfId="0" applyNumberFormat="1" applyFont="1" applyBorder="1" applyAlignment="1">
      <alignment horizontal="right"/>
    </xf>
    <xf numFmtId="41" fontId="14" fillId="0" borderId="0" xfId="0" applyNumberFormat="1" applyFont="1" applyProtection="1">
      <protection locked="0"/>
    </xf>
    <xf numFmtId="41" fontId="14" fillId="0" borderId="0" xfId="1" applyNumberFormat="1" applyFont="1" applyProtection="1">
      <protection locked="0"/>
    </xf>
    <xf numFmtId="41" fontId="16" fillId="0" borderId="0" xfId="0" applyNumberFormat="1" applyFont="1" applyAlignment="1">
      <alignment horizontal="right"/>
    </xf>
    <xf numFmtId="41" fontId="16" fillId="0" borderId="0" xfId="1" applyNumberFormat="1" applyFont="1" applyAlignment="1">
      <alignment horizontal="right"/>
    </xf>
    <xf numFmtId="41" fontId="30" fillId="0" borderId="0" xfId="4" applyNumberFormat="1" applyFont="1" applyAlignment="1">
      <alignment horizontal="left"/>
    </xf>
    <xf numFmtId="41" fontId="15" fillId="0" borderId="0" xfId="0" applyNumberFormat="1" applyFont="1"/>
    <xf numFmtId="41" fontId="15" fillId="0" borderId="0" xfId="1" applyNumberFormat="1" applyFont="1"/>
    <xf numFmtId="41" fontId="15" fillId="0" borderId="0" xfId="1" applyNumberFormat="1" applyFont="1" applyProtection="1">
      <protection locked="0"/>
    </xf>
    <xf numFmtId="41" fontId="19" fillId="0" borderId="0" xfId="0" applyNumberFormat="1" applyFont="1" applyProtection="1">
      <protection locked="0"/>
    </xf>
    <xf numFmtId="41" fontId="19" fillId="0" borderId="0" xfId="1" applyNumberFormat="1" applyFont="1" applyProtection="1">
      <protection locked="0"/>
    </xf>
    <xf numFmtId="41" fontId="19" fillId="4" borderId="3" xfId="0" applyNumberFormat="1" applyFont="1" applyFill="1" applyBorder="1"/>
    <xf numFmtId="41" fontId="16" fillId="0" borderId="0" xfId="0" applyNumberFormat="1" applyFont="1" applyAlignment="1">
      <alignment vertical="center"/>
    </xf>
    <xf numFmtId="41" fontId="16" fillId="4" borderId="2" xfId="1" applyNumberFormat="1" applyFont="1" applyFill="1" applyBorder="1"/>
    <xf numFmtId="3" fontId="16" fillId="10" borderId="6" xfId="0" applyNumberFormat="1" applyFont="1" applyFill="1" applyBorder="1"/>
    <xf numFmtId="41" fontId="16" fillId="10" borderId="6" xfId="0" applyNumberFormat="1" applyFont="1" applyFill="1" applyBorder="1" applyProtection="1">
      <protection locked="0"/>
    </xf>
    <xf numFmtId="3" fontId="21" fillId="10" borderId="6" xfId="0" applyNumberFormat="1" applyFont="1" applyFill="1" applyBorder="1" applyAlignment="1">
      <alignment horizontal="left" wrapText="1" readingOrder="1"/>
    </xf>
    <xf numFmtId="41" fontId="19" fillId="4" borderId="3" xfId="1" applyNumberFormat="1" applyFont="1" applyFill="1" applyBorder="1" applyAlignment="1" applyProtection="1">
      <alignment horizontal="right"/>
      <protection locked="0"/>
    </xf>
    <xf numFmtId="41" fontId="16" fillId="4" borderId="3" xfId="0" applyNumberFormat="1" applyFont="1" applyFill="1" applyBorder="1"/>
    <xf numFmtId="3" fontId="14" fillId="0" borderId="6" xfId="0" applyNumberFormat="1" applyFont="1" applyBorder="1" applyAlignment="1">
      <alignment horizontal="left"/>
    </xf>
    <xf numFmtId="41" fontId="14" fillId="8" borderId="5" xfId="0" applyNumberFormat="1" applyFont="1" applyFill="1" applyBorder="1"/>
    <xf numFmtId="41" fontId="14" fillId="0" borderId="10" xfId="0" applyNumberFormat="1" applyFont="1" applyBorder="1"/>
    <xf numFmtId="0" fontId="16" fillId="10" borderId="0" xfId="0" quotePrefix="1" applyFont="1" applyFill="1"/>
    <xf numFmtId="0" fontId="14" fillId="10" borderId="0" xfId="0" applyFont="1" applyFill="1" applyAlignment="1" applyProtection="1">
      <alignment horizontal="center" wrapText="1"/>
      <protection locked="0"/>
    </xf>
    <xf numFmtId="0" fontId="18" fillId="10" borderId="0" xfId="0" quotePrefix="1" applyFont="1" applyFill="1"/>
    <xf numFmtId="0" fontId="17" fillId="10" borderId="0" xfId="0" applyFont="1" applyFill="1" applyProtection="1">
      <protection locked="0"/>
    </xf>
    <xf numFmtId="0" fontId="36" fillId="10" borderId="0" xfId="0" applyFont="1" applyFill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0" fontId="36" fillId="10" borderId="0" xfId="0" applyFont="1" applyFill="1" applyAlignment="1" applyProtection="1">
      <alignment horizontal="center" wrapText="1"/>
      <protection locked="0"/>
    </xf>
    <xf numFmtId="0" fontId="14" fillId="10" borderId="0" xfId="0" applyFont="1" applyFill="1" applyAlignment="1">
      <alignment horizontal="center" wrapText="1"/>
    </xf>
    <xf numFmtId="0" fontId="16" fillId="10" borderId="0" xfId="0" applyFont="1" applyFill="1" applyAlignment="1" applyProtection="1">
      <alignment horizontal="center" wrapText="1"/>
      <protection locked="0"/>
    </xf>
    <xf numFmtId="3" fontId="19" fillId="10" borderId="0" xfId="0" applyNumberFormat="1" applyFont="1" applyFill="1"/>
    <xf numFmtId="3" fontId="20" fillId="10" borderId="0" xfId="0" applyNumberFormat="1" applyFont="1" applyFill="1"/>
    <xf numFmtId="170" fontId="14" fillId="10" borderId="0" xfId="0" applyNumberFormat="1" applyFont="1" applyFill="1"/>
    <xf numFmtId="0" fontId="19" fillId="10" borderId="5" xfId="0" applyFont="1" applyFill="1" applyBorder="1"/>
    <xf numFmtId="10" fontId="14" fillId="10" borderId="0" xfId="2" applyNumberFormat="1" applyFont="1" applyFill="1"/>
    <xf numFmtId="0" fontId="16" fillId="10" borderId="0" xfId="0" applyFont="1" applyFill="1" applyAlignment="1">
      <alignment horizontal="right"/>
    </xf>
    <xf numFmtId="172" fontId="14" fillId="10" borderId="0" xfId="2" applyNumberFormat="1" applyFont="1" applyFill="1"/>
    <xf numFmtId="0" fontId="18" fillId="10" borderId="0" xfId="0" applyFont="1" applyFill="1"/>
    <xf numFmtId="170" fontId="14" fillId="10" borderId="0" xfId="1" applyNumberFormat="1" applyFont="1" applyFill="1"/>
    <xf numFmtId="0" fontId="16" fillId="10" borderId="5" xfId="0" applyFont="1" applyFill="1" applyBorder="1"/>
    <xf numFmtId="41" fontId="14" fillId="10" borderId="5" xfId="1" applyNumberFormat="1" applyFont="1" applyFill="1" applyBorder="1" applyProtection="1">
      <protection locked="0"/>
    </xf>
    <xf numFmtId="0" fontId="16" fillId="10" borderId="12" xfId="0" applyFont="1" applyFill="1" applyBorder="1"/>
    <xf numFmtId="170" fontId="17" fillId="10" borderId="0" xfId="1" applyNumberFormat="1" applyFont="1" applyFill="1" applyAlignment="1">
      <alignment horizontal="center"/>
    </xf>
    <xf numFmtId="3" fontId="15" fillId="16" borderId="8" xfId="0" applyNumberFormat="1" applyFont="1" applyFill="1" applyBorder="1" applyAlignment="1">
      <alignment horizontal="right"/>
    </xf>
    <xf numFmtId="0" fontId="19" fillId="10" borderId="0" xfId="0" applyFont="1" applyFill="1"/>
    <xf numFmtId="0" fontId="16" fillId="10" borderId="0" xfId="0" applyFont="1" applyFill="1"/>
    <xf numFmtId="41" fontId="47" fillId="18" borderId="5" xfId="3" applyNumberFormat="1" applyFont="1" applyFill="1" applyBorder="1" applyAlignment="1">
      <alignment horizontal="right" vertical="center"/>
    </xf>
    <xf numFmtId="0" fontId="16" fillId="3" borderId="0" xfId="0" applyFont="1" applyFill="1" applyProtection="1">
      <protection locked="0"/>
    </xf>
    <xf numFmtId="0" fontId="21" fillId="0" borderId="0" xfId="0" applyFont="1"/>
    <xf numFmtId="0" fontId="21" fillId="0" borderId="0" xfId="0" applyFont="1" applyAlignment="1">
      <alignment horizontal="left" wrapText="1"/>
    </xf>
    <xf numFmtId="0" fontId="21" fillId="3" borderId="0" xfId="0" applyFont="1" applyFill="1" applyAlignment="1">
      <alignment horizontal="left" wrapText="1"/>
    </xf>
    <xf numFmtId="0" fontId="14" fillId="3" borderId="0" xfId="0" applyFont="1" applyFill="1"/>
    <xf numFmtId="0" fontId="16" fillId="11" borderId="0" xfId="0" applyFont="1" applyFill="1" applyAlignment="1">
      <alignment horizontal="center"/>
    </xf>
    <xf numFmtId="41" fontId="16" fillId="3" borderId="5" xfId="1" applyNumberFormat="1" applyFont="1" applyFill="1" applyBorder="1"/>
    <xf numFmtId="38" fontId="16" fillId="3" borderId="0" xfId="1" applyNumberFormat="1" applyFont="1" applyFill="1" applyAlignment="1">
      <alignment horizontal="center"/>
    </xf>
    <xf numFmtId="38" fontId="14" fillId="3" borderId="0" xfId="1" applyNumberFormat="1" applyFont="1" applyFill="1"/>
    <xf numFmtId="0" fontId="21" fillId="0" borderId="5" xfId="0" applyFont="1" applyBorder="1" applyAlignment="1">
      <alignment readingOrder="1"/>
    </xf>
    <xf numFmtId="169" fontId="14" fillId="0" borderId="1" xfId="0" applyNumberFormat="1" applyFont="1" applyBorder="1" applyAlignment="1">
      <alignment horizontal="left"/>
    </xf>
    <xf numFmtId="41" fontId="14" fillId="0" borderId="6" xfId="1" applyNumberFormat="1" applyFont="1" applyBorder="1"/>
    <xf numFmtId="0" fontId="49" fillId="0" borderId="5" xfId="24" applyNumberFormat="1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4" fillId="3" borderId="5" xfId="0" applyFont="1" applyFill="1" applyBorder="1"/>
    <xf numFmtId="38" fontId="26" fillId="0" borderId="0" xfId="0" applyNumberFormat="1" applyFont="1"/>
    <xf numFmtId="3" fontId="16" fillId="0" borderId="0" xfId="0" applyNumberFormat="1" applyFont="1" applyAlignment="1">
      <alignment readingOrder="1"/>
    </xf>
    <xf numFmtId="3" fontId="14" fillId="0" borderId="0" xfId="0" applyNumberFormat="1" applyFont="1" applyAlignment="1" applyProtection="1">
      <alignment readingOrder="1"/>
      <protection locked="0"/>
    </xf>
    <xf numFmtId="170" fontId="16" fillId="0" borderId="0" xfId="1" applyNumberFormat="1" applyFont="1" applyAlignment="1"/>
    <xf numFmtId="0" fontId="36" fillId="0" borderId="0" xfId="0" applyFont="1" applyAlignment="1">
      <alignment horizontal="center" readingOrder="1"/>
    </xf>
    <xf numFmtId="0" fontId="40" fillId="0" borderId="0" xfId="0" applyFont="1" applyAlignment="1">
      <alignment horizontal="center" readingOrder="1"/>
    </xf>
    <xf numFmtId="0" fontId="36" fillId="0" borderId="0" xfId="0" applyFont="1" applyAlignment="1">
      <alignment horizontal="center" wrapText="1" readingOrder="1"/>
    </xf>
    <xf numFmtId="41" fontId="40" fillId="0" borderId="0" xfId="0" applyNumberFormat="1" applyFont="1" applyAlignment="1" applyProtection="1">
      <alignment horizontal="center" readingOrder="1"/>
      <protection locked="0"/>
    </xf>
    <xf numFmtId="0" fontId="36" fillId="10" borderId="0" xfId="0" applyFont="1" applyFill="1"/>
    <xf numFmtId="0" fontId="36" fillId="0" borderId="0" xfId="0" applyFont="1" applyProtection="1">
      <protection locked="0"/>
    </xf>
    <xf numFmtId="0" fontId="40" fillId="0" borderId="0" xfId="0" applyFont="1"/>
    <xf numFmtId="3" fontId="40" fillId="0" borderId="0" xfId="0" applyNumberFormat="1" applyFont="1"/>
    <xf numFmtId="0" fontId="44" fillId="0" borderId="0" xfId="0" applyFont="1"/>
    <xf numFmtId="0" fontId="45" fillId="0" borderId="0" xfId="0" applyFont="1"/>
    <xf numFmtId="0" fontId="48" fillId="0" borderId="0" xfId="0" applyFont="1"/>
    <xf numFmtId="0" fontId="25" fillId="10" borderId="0" xfId="0" applyFont="1" applyFill="1" applyAlignment="1">
      <alignment readingOrder="1"/>
    </xf>
    <xf numFmtId="0" fontId="28" fillId="10" borderId="0" xfId="0" applyFont="1" applyFill="1"/>
    <xf numFmtId="3" fontId="14" fillId="0" borderId="0" xfId="1" applyNumberFormat="1" applyFont="1" applyFill="1"/>
    <xf numFmtId="0" fontId="30" fillId="5" borderId="0" xfId="4" applyFont="1" applyFill="1" applyAlignment="1" applyProtection="1">
      <alignment horizontal="center"/>
      <protection locked="0"/>
    </xf>
    <xf numFmtId="10" fontId="16" fillId="13" borderId="0" xfId="0" applyNumberFormat="1" applyFont="1" applyFill="1" applyAlignment="1">
      <alignment horizontal="center"/>
    </xf>
    <xf numFmtId="170" fontId="18" fillId="0" borderId="0" xfId="1" applyNumberFormat="1" applyFont="1" applyFill="1" applyBorder="1" applyAlignment="1">
      <alignment horizontal="right"/>
    </xf>
    <xf numFmtId="170" fontId="16" fillId="0" borderId="0" xfId="1" applyNumberFormat="1" applyFont="1" applyFill="1" applyBorder="1" applyAlignment="1">
      <alignment horizontal="right"/>
    </xf>
    <xf numFmtId="10" fontId="16" fillId="0" borderId="0" xfId="2" applyNumberFormat="1" applyFont="1" applyFill="1"/>
    <xf numFmtId="164" fontId="18" fillId="0" borderId="5" xfId="0" applyNumberFormat="1" applyFont="1" applyBorder="1" applyAlignment="1">
      <alignment horizontal="right"/>
    </xf>
    <xf numFmtId="3" fontId="18" fillId="4" borderId="15" xfId="0" quotePrefix="1" applyNumberFormat="1" applyFont="1" applyFill="1" applyBorder="1" applyAlignment="1">
      <alignment horizontal="left"/>
    </xf>
    <xf numFmtId="3" fontId="18" fillId="0" borderId="2" xfId="0" applyNumberFormat="1" applyFont="1" applyBorder="1" applyAlignment="1">
      <alignment horizontal="right"/>
    </xf>
    <xf numFmtId="0" fontId="32" fillId="10" borderId="0" xfId="0" applyFont="1" applyFill="1" applyAlignment="1">
      <alignment horizontal="left" readingOrder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8" fillId="10" borderId="0" xfId="0" quotePrefix="1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14" fillId="1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10" borderId="0" xfId="0" applyFont="1" applyFill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17" fillId="10" borderId="0" xfId="0" applyFont="1" applyFill="1" applyAlignment="1">
      <alignment vertical="center" wrapText="1"/>
    </xf>
    <xf numFmtId="3" fontId="14" fillId="10" borderId="0" xfId="0" applyNumberFormat="1" applyFont="1" applyFill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41" fontId="16" fillId="0" borderId="5" xfId="0" applyNumberFormat="1" applyFont="1" applyBorder="1" applyAlignment="1">
      <alignment vertical="center"/>
    </xf>
    <xf numFmtId="0" fontId="25" fillId="10" borderId="0" xfId="0" applyFont="1" applyFill="1" applyAlignment="1">
      <alignment vertical="center"/>
    </xf>
    <xf numFmtId="0" fontId="14" fillId="10" borderId="0" xfId="0" applyFont="1" applyFill="1" applyAlignment="1" applyProtection="1">
      <alignment horizontal="center" vertical="center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6" fillId="10" borderId="0" xfId="0" applyFont="1" applyFill="1" applyAlignment="1" applyProtection="1">
      <alignment horizontal="center" vertical="center" wrapText="1"/>
      <protection locked="0"/>
    </xf>
    <xf numFmtId="0" fontId="36" fillId="10" borderId="0" xfId="0" applyFont="1" applyFill="1" applyAlignment="1">
      <alignment horizontal="left" wrapText="1"/>
    </xf>
    <xf numFmtId="167" fontId="14" fillId="10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170" fontId="14" fillId="10" borderId="0" xfId="1" applyNumberFormat="1" applyFont="1" applyFill="1" applyBorder="1" applyAlignment="1">
      <alignment vertical="center"/>
    </xf>
    <xf numFmtId="10" fontId="14" fillId="10" borderId="0" xfId="0" applyNumberFormat="1" applyFont="1" applyFill="1" applyAlignment="1">
      <alignment horizontal="center" vertical="center"/>
    </xf>
    <xf numFmtId="167" fontId="14" fillId="10" borderId="0" xfId="0" applyNumberFormat="1" applyFont="1" applyFill="1" applyAlignment="1" applyProtection="1">
      <alignment horizontal="center" vertical="center"/>
      <protection locked="0"/>
    </xf>
    <xf numFmtId="41" fontId="14" fillId="10" borderId="0" xfId="0" applyNumberFormat="1" applyFont="1" applyFill="1" applyAlignment="1">
      <alignment vertical="center"/>
    </xf>
    <xf numFmtId="3" fontId="14" fillId="10" borderId="0" xfId="0" applyNumberFormat="1" applyFont="1" applyFill="1" applyAlignment="1">
      <alignment vertical="center"/>
    </xf>
    <xf numFmtId="3" fontId="14" fillId="10" borderId="0" xfId="0" applyNumberFormat="1" applyFont="1" applyFill="1" applyAlignment="1">
      <alignment horizontal="center" vertical="center"/>
    </xf>
    <xf numFmtId="10" fontId="16" fillId="10" borderId="0" xfId="0" applyNumberFormat="1" applyFont="1" applyFill="1" applyAlignment="1">
      <alignment horizontal="center" vertical="center"/>
    </xf>
    <xf numFmtId="38" fontId="14" fillId="10" borderId="0" xfId="0" applyNumberFormat="1" applyFont="1" applyFill="1" applyAlignment="1">
      <alignment vertical="center"/>
    </xf>
    <xf numFmtId="38" fontId="14" fillId="10" borderId="0" xfId="0" applyNumberFormat="1" applyFont="1" applyFill="1" applyAlignment="1">
      <alignment horizontal="center" vertical="center"/>
    </xf>
    <xf numFmtId="38" fontId="17" fillId="10" borderId="0" xfId="0" applyNumberFormat="1" applyFont="1" applyFill="1" applyAlignment="1">
      <alignment vertical="center"/>
    </xf>
    <xf numFmtId="41" fontId="14" fillId="10" borderId="0" xfId="0" applyNumberFormat="1" applyFont="1" applyFill="1" applyAlignment="1" applyProtection="1">
      <alignment vertical="center"/>
      <protection locked="0"/>
    </xf>
    <xf numFmtId="0" fontId="15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16" fillId="10" borderId="0" xfId="0" quotePrefix="1" applyFont="1" applyFill="1" applyAlignment="1">
      <alignment horizontal="left" vertical="center"/>
    </xf>
    <xf numFmtId="0" fontId="16" fillId="10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vertical="center" wrapText="1"/>
    </xf>
    <xf numFmtId="41" fontId="14" fillId="10" borderId="0" xfId="1" applyNumberFormat="1" applyFont="1" applyFill="1" applyBorder="1" applyAlignment="1">
      <alignment vertical="center"/>
    </xf>
    <xf numFmtId="37" fontId="45" fillId="10" borderId="0" xfId="0" applyNumberFormat="1" applyFont="1" applyFill="1"/>
    <xf numFmtId="0" fontId="16" fillId="10" borderId="0" xfId="0" quotePrefix="1" applyFont="1" applyFill="1" applyAlignment="1">
      <alignment horizontal="center" vertical="center"/>
    </xf>
    <xf numFmtId="0" fontId="16" fillId="10" borderId="0" xfId="0" quotePrefix="1" applyFont="1" applyFill="1" applyAlignment="1" applyProtection="1">
      <alignment horizontal="center" vertical="center"/>
      <protection locked="0"/>
    </xf>
    <xf numFmtId="38" fontId="16" fillId="10" borderId="0" xfId="0" applyNumberFormat="1" applyFont="1" applyFill="1" applyAlignment="1">
      <alignment horizontal="center" vertical="center"/>
    </xf>
    <xf numFmtId="38" fontId="16" fillId="10" borderId="0" xfId="0" quotePrefix="1" applyNumberFormat="1" applyFont="1" applyFill="1" applyAlignment="1">
      <alignment horizontal="center" vertical="center"/>
    </xf>
    <xf numFmtId="37" fontId="14" fillId="10" borderId="0" xfId="0" applyNumberFormat="1" applyFont="1" applyFill="1" applyAlignment="1">
      <alignment vertical="center"/>
    </xf>
    <xf numFmtId="0" fontId="14" fillId="10" borderId="5" xfId="0" applyFont="1" applyFill="1" applyBorder="1" applyAlignment="1">
      <alignment vertical="center"/>
    </xf>
    <xf numFmtId="41" fontId="14" fillId="10" borderId="5" xfId="0" applyNumberFormat="1" applyFont="1" applyFill="1" applyBorder="1" applyAlignment="1">
      <alignment vertical="center"/>
    </xf>
    <xf numFmtId="41" fontId="14" fillId="10" borderId="5" xfId="1" applyNumberFormat="1" applyFont="1" applyFill="1" applyBorder="1" applyAlignment="1">
      <alignment vertical="center"/>
    </xf>
    <xf numFmtId="10" fontId="16" fillId="13" borderId="0" xfId="0" applyNumberFormat="1" applyFont="1" applyFill="1" applyAlignment="1">
      <alignment horizontal="center" vertical="center"/>
    </xf>
    <xf numFmtId="37" fontId="35" fillId="15" borderId="0" xfId="4" applyNumberFormat="1" applyFont="1" applyFill="1" applyBorder="1" applyAlignment="1" applyProtection="1">
      <alignment horizontal="center"/>
      <protection locked="0"/>
    </xf>
    <xf numFmtId="38" fontId="17" fillId="10" borderId="0" xfId="1" applyNumberFormat="1" applyFont="1" applyFill="1" applyBorder="1" applyAlignment="1">
      <alignment horizontal="center" vertical="center"/>
    </xf>
    <xf numFmtId="170" fontId="14" fillId="10" borderId="0" xfId="1" applyNumberFormat="1" applyFont="1" applyFill="1" applyAlignment="1">
      <alignment horizontal="center"/>
    </xf>
    <xf numFmtId="0" fontId="17" fillId="14" borderId="5" xfId="0" applyFont="1" applyFill="1" applyBorder="1" applyAlignment="1">
      <alignment horizontal="right" vertical="center"/>
    </xf>
    <xf numFmtId="41" fontId="14" fillId="14" borderId="5" xfId="1" applyNumberFormat="1" applyFont="1" applyFill="1" applyBorder="1" applyAlignment="1">
      <alignment vertical="center"/>
    </xf>
    <xf numFmtId="41" fontId="14" fillId="14" borderId="5" xfId="0" applyNumberFormat="1" applyFont="1" applyFill="1" applyBorder="1" applyAlignment="1">
      <alignment vertical="center"/>
    </xf>
    <xf numFmtId="41" fontId="16" fillId="14" borderId="5" xfId="0" applyNumberFormat="1" applyFont="1" applyFill="1" applyBorder="1" applyAlignment="1">
      <alignment vertical="center"/>
    </xf>
    <xf numFmtId="0" fontId="17" fillId="14" borderId="5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8" fontId="16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41" fontId="41" fillId="10" borderId="0" xfId="0" applyNumberFormat="1" applyFont="1" applyFill="1" applyAlignment="1" applyProtection="1">
      <alignment horizontal="center"/>
      <protection locked="0"/>
    </xf>
    <xf numFmtId="0" fontId="51" fillId="0" borderId="0" xfId="0" applyFont="1" applyAlignment="1">
      <alignment horizontal="right"/>
    </xf>
    <xf numFmtId="38" fontId="23" fillId="0" borderId="0" xfId="1" applyNumberFormat="1" applyFont="1" applyBorder="1"/>
    <xf numFmtId="168" fontId="16" fillId="0" borderId="0" xfId="2" applyNumberFormat="1" applyFont="1" applyBorder="1"/>
    <xf numFmtId="168" fontId="34" fillId="0" borderId="0" xfId="2" applyNumberFormat="1" applyFont="1" applyBorder="1"/>
    <xf numFmtId="172" fontId="37" fillId="10" borderId="0" xfId="2" applyNumberFormat="1" applyFont="1" applyFill="1"/>
    <xf numFmtId="3" fontId="37" fillId="10" borderId="0" xfId="0" applyNumberFormat="1" applyFont="1" applyFill="1" applyAlignment="1" applyProtection="1">
      <alignment horizontal="right"/>
      <protection locked="0"/>
    </xf>
    <xf numFmtId="0" fontId="30" fillId="0" borderId="0" xfId="4" applyFont="1"/>
    <xf numFmtId="37" fontId="35" fillId="0" borderId="0" xfId="4" applyNumberFormat="1" applyFont="1" applyFill="1" applyBorder="1" applyAlignment="1" applyProtection="1">
      <alignment horizontal="center"/>
      <protection locked="0"/>
    </xf>
    <xf numFmtId="3" fontId="18" fillId="8" borderId="7" xfId="0" applyNumberFormat="1" applyFont="1" applyFill="1" applyBorder="1" applyAlignment="1">
      <alignment horizontal="right"/>
    </xf>
    <xf numFmtId="41" fontId="16" fillId="8" borderId="7" xfId="0" applyNumberFormat="1" applyFont="1" applyFill="1" applyBorder="1" applyAlignment="1">
      <alignment horizontal="right"/>
    </xf>
    <xf numFmtId="41" fontId="16" fillId="8" borderId="7" xfId="1" applyNumberFormat="1" applyFont="1" applyFill="1" applyBorder="1" applyAlignment="1">
      <alignment horizontal="right"/>
    </xf>
    <xf numFmtId="3" fontId="18" fillId="8" borderId="5" xfId="0" applyNumberFormat="1" applyFont="1" applyFill="1" applyBorder="1" applyAlignment="1">
      <alignment horizontal="right"/>
    </xf>
    <xf numFmtId="41" fontId="16" fillId="8" borderId="5" xfId="1" applyNumberFormat="1" applyFont="1" applyFill="1" applyBorder="1" applyAlignment="1">
      <alignment horizontal="right"/>
    </xf>
    <xf numFmtId="41" fontId="19" fillId="8" borderId="6" xfId="1" applyNumberFormat="1" applyFont="1" applyFill="1" applyBorder="1" applyAlignment="1">
      <alignment horizontal="right"/>
    </xf>
    <xf numFmtId="41" fontId="19" fillId="8" borderId="6" xfId="1" applyNumberFormat="1" applyFont="1" applyFill="1" applyBorder="1" applyAlignment="1" applyProtection="1">
      <alignment horizontal="right"/>
      <protection locked="0"/>
    </xf>
    <xf numFmtId="3" fontId="19" fillId="10" borderId="7" xfId="0" applyNumberFormat="1" applyFont="1" applyFill="1" applyBorder="1"/>
    <xf numFmtId="3" fontId="19" fillId="10" borderId="17" xfId="0" applyNumberFormat="1" applyFont="1" applyFill="1" applyBorder="1"/>
    <xf numFmtId="0" fontId="16" fillId="10" borderId="7" xfId="0" applyFont="1" applyFill="1" applyBorder="1"/>
    <xf numFmtId="0" fontId="16" fillId="10" borderId="17" xfId="0" applyFont="1" applyFill="1" applyBorder="1"/>
    <xf numFmtId="41" fontId="14" fillId="10" borderId="17" xfId="1" applyNumberFormat="1" applyFont="1" applyFill="1" applyBorder="1" applyProtection="1">
      <protection locked="0"/>
    </xf>
    <xf numFmtId="10" fontId="16" fillId="0" borderId="5" xfId="2" applyNumberFormat="1" applyFont="1" applyBorder="1" applyAlignment="1">
      <alignment horizontal="center" vertical="center"/>
    </xf>
    <xf numFmtId="10" fontId="16" fillId="0" borderId="5" xfId="2" applyNumberFormat="1" applyFont="1" applyBorder="1" applyAlignment="1">
      <alignment horizontal="center"/>
    </xf>
    <xf numFmtId="49" fontId="16" fillId="3" borderId="5" xfId="0" applyNumberFormat="1" applyFont="1" applyFill="1" applyBorder="1"/>
    <xf numFmtId="41" fontId="14" fillId="8" borderId="5" xfId="1" applyNumberFormat="1" applyFont="1" applyFill="1" applyBorder="1"/>
    <xf numFmtId="41" fontId="14" fillId="4" borderId="5" xfId="1" applyNumberFormat="1" applyFont="1" applyFill="1" applyBorder="1"/>
    <xf numFmtId="41" fontId="14" fillId="0" borderId="0" xfId="1" applyNumberFormat="1" applyFont="1"/>
    <xf numFmtId="41" fontId="14" fillId="0" borderId="1" xfId="1" quotePrefix="1" applyNumberFormat="1" applyFont="1" applyBorder="1" applyAlignment="1">
      <alignment horizontal="center"/>
    </xf>
    <xf numFmtId="41" fontId="14" fillId="0" borderId="0" xfId="1" applyNumberFormat="1" applyFont="1" applyAlignment="1">
      <alignment horizontal="center"/>
    </xf>
    <xf numFmtId="0" fontId="53" fillId="0" borderId="0" xfId="0" applyFont="1" applyProtection="1">
      <protection locked="0"/>
    </xf>
    <xf numFmtId="170" fontId="22" fillId="0" borderId="0" xfId="1" applyNumberFormat="1" applyFont="1" applyAlignment="1" applyProtection="1"/>
    <xf numFmtId="170" fontId="16" fillId="0" borderId="0" xfId="1" applyNumberFormat="1" applyFont="1" applyAlignment="1" applyProtection="1"/>
    <xf numFmtId="170" fontId="16" fillId="0" borderId="0" xfId="1" applyNumberFormat="1" applyFont="1" applyAlignment="1" applyProtection="1">
      <protection locked="0"/>
    </xf>
    <xf numFmtId="170" fontId="16" fillId="0" borderId="0" xfId="1" applyNumberFormat="1" applyFont="1" applyFill="1" applyAlignment="1" applyProtection="1">
      <alignment horizontal="center"/>
    </xf>
    <xf numFmtId="170" fontId="16" fillId="0" borderId="0" xfId="1" applyNumberFormat="1" applyFont="1" applyFill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70" fontId="18" fillId="0" borderId="0" xfId="1" applyNumberFormat="1" applyFont="1" applyFill="1" applyAlignment="1" applyProtection="1"/>
    <xf numFmtId="170" fontId="16" fillId="0" borderId="0" xfId="1" applyNumberFormat="1" applyFont="1" applyFill="1" applyAlignment="1" applyProtection="1"/>
    <xf numFmtId="170" fontId="18" fillId="0" borderId="0" xfId="1" applyNumberFormat="1" applyFont="1" applyFill="1" applyAlignment="1" applyProtection="1">
      <alignment horizontal="center"/>
    </xf>
    <xf numFmtId="170" fontId="16" fillId="0" borderId="0" xfId="1" applyNumberFormat="1" applyFont="1" applyFill="1" applyAlignment="1" applyProtection="1">
      <protection locked="0"/>
    </xf>
    <xf numFmtId="0" fontId="16" fillId="0" borderId="5" xfId="0" applyFont="1" applyBorder="1" applyProtection="1">
      <protection locked="0"/>
    </xf>
    <xf numFmtId="170" fontId="16" fillId="0" borderId="5" xfId="1" applyNumberFormat="1" applyFont="1" applyBorder="1" applyAlignment="1" applyProtection="1">
      <protection locked="0"/>
    </xf>
    <xf numFmtId="170" fontId="16" fillId="0" borderId="0" xfId="1" applyNumberFormat="1" applyFont="1" applyFill="1" applyAlignment="1" applyProtection="1">
      <alignment horizontal="right"/>
    </xf>
    <xf numFmtId="173" fontId="16" fillId="0" borderId="5" xfId="1" applyNumberFormat="1" applyFont="1" applyBorder="1" applyAlignment="1" applyProtection="1">
      <protection locked="0"/>
    </xf>
    <xf numFmtId="10" fontId="16" fillId="0" borderId="5" xfId="2" applyNumberFormat="1" applyFont="1" applyBorder="1" applyAlignment="1" applyProtection="1">
      <protection locked="0"/>
    </xf>
    <xf numFmtId="10" fontId="16" fillId="0" borderId="5" xfId="2" applyNumberFormat="1" applyFont="1" applyBorder="1" applyAlignment="1" applyProtection="1"/>
    <xf numFmtId="170" fontId="16" fillId="0" borderId="0" xfId="1" applyNumberFormat="1" applyFont="1" applyBorder="1" applyAlignment="1" applyProtection="1">
      <protection locked="0"/>
    </xf>
    <xf numFmtId="0" fontId="16" fillId="0" borderId="8" xfId="0" applyFont="1" applyBorder="1" applyProtection="1">
      <protection locked="0"/>
    </xf>
    <xf numFmtId="0" fontId="16" fillId="8" borderId="7" xfId="0" applyFont="1" applyFill="1" applyBorder="1" applyProtection="1">
      <protection locked="0"/>
    </xf>
    <xf numFmtId="0" fontId="18" fillId="0" borderId="8" xfId="0" applyFont="1" applyBorder="1" applyProtection="1">
      <protection locked="0"/>
    </xf>
    <xf numFmtId="0" fontId="16" fillId="8" borderId="5" xfId="0" applyFont="1" applyFill="1" applyBorder="1" applyProtection="1">
      <protection locked="0"/>
    </xf>
    <xf numFmtId="0" fontId="54" fillId="0" borderId="0" xfId="0" applyFont="1" applyProtection="1">
      <protection locked="0"/>
    </xf>
    <xf numFmtId="170" fontId="18" fillId="0" borderId="0" xfId="1" applyNumberFormat="1" applyFont="1" applyAlignment="1" applyProtection="1">
      <protection locked="0"/>
    </xf>
    <xf numFmtId="0" fontId="18" fillId="0" borderId="0" xfId="0" quotePrefix="1" applyFont="1" applyProtection="1">
      <protection locked="0"/>
    </xf>
    <xf numFmtId="170" fontId="18" fillId="0" borderId="0" xfId="1" applyNumberFormat="1" applyFont="1" applyFill="1" applyAlignment="1" applyProtection="1">
      <alignment horizontal="center"/>
      <protection locked="0"/>
    </xf>
    <xf numFmtId="3" fontId="16" fillId="0" borderId="5" xfId="3" applyNumberFormat="1" applyFont="1" applyBorder="1" applyProtection="1">
      <protection locked="0"/>
    </xf>
    <xf numFmtId="3" fontId="16" fillId="0" borderId="5" xfId="3" applyNumberFormat="1" applyFont="1" applyBorder="1" applyAlignment="1" applyProtection="1">
      <alignment horizontal="left" indent="1"/>
      <protection locked="0"/>
    </xf>
    <xf numFmtId="3" fontId="16" fillId="0" borderId="17" xfId="3" applyNumberFormat="1" applyFont="1" applyBorder="1" applyAlignment="1" applyProtection="1">
      <alignment horizontal="left" indent="1"/>
      <protection locked="0"/>
    </xf>
    <xf numFmtId="3" fontId="16" fillId="0" borderId="7" xfId="3" applyNumberFormat="1" applyFont="1" applyBorder="1"/>
    <xf numFmtId="3" fontId="16" fillId="4" borderId="5" xfId="3" applyNumberFormat="1" applyFont="1" applyFill="1" applyBorder="1" applyAlignment="1" applyProtection="1">
      <alignment wrapText="1"/>
      <protection locked="0"/>
    </xf>
    <xf numFmtId="170" fontId="18" fillId="0" borderId="0" xfId="1" applyNumberFormat="1" applyFont="1" applyAlignment="1" applyProtection="1">
      <alignment horizontal="center"/>
      <protection locked="0"/>
    </xf>
    <xf numFmtId="0" fontId="30" fillId="0" borderId="0" xfId="4" applyFont="1" applyAlignment="1" applyProtection="1">
      <alignment wrapText="1"/>
      <protection locked="0"/>
    </xf>
    <xf numFmtId="170" fontId="14" fillId="0" borderId="0" xfId="1" applyNumberFormat="1" applyFont="1" applyAlignment="1" applyProtection="1"/>
    <xf numFmtId="170" fontId="14" fillId="0" borderId="0" xfId="1" applyNumberFormat="1" applyFont="1" applyAlignment="1" applyProtection="1">
      <protection locked="0"/>
    </xf>
    <xf numFmtId="0" fontId="18" fillId="0" borderId="0" xfId="4" applyFont="1" applyAlignment="1" applyProtection="1">
      <alignment wrapText="1"/>
      <protection locked="0"/>
    </xf>
    <xf numFmtId="0" fontId="16" fillId="4" borderId="5" xfId="0" applyFont="1" applyFill="1" applyBorder="1" applyProtection="1">
      <protection locked="0"/>
    </xf>
    <xf numFmtId="170" fontId="16" fillId="0" borderId="0" xfId="1" applyNumberFormat="1" applyFont="1" applyFill="1" applyBorder="1" applyAlignment="1" applyProtection="1">
      <protection locked="0"/>
    </xf>
    <xf numFmtId="170" fontId="18" fillId="0" borderId="0" xfId="1" applyNumberFormat="1" applyFont="1" applyFill="1" applyBorder="1" applyAlignment="1" applyProtection="1">
      <protection locked="0"/>
    </xf>
    <xf numFmtId="0" fontId="18" fillId="0" borderId="0" xfId="0" quotePrefix="1" applyFont="1" applyAlignment="1" applyProtection="1">
      <alignment vertical="center"/>
      <protection locked="0"/>
    </xf>
    <xf numFmtId="170" fontId="14" fillId="0" borderId="0" xfId="1" applyNumberFormat="1" applyFont="1" applyBorder="1" applyAlignment="1" applyProtection="1"/>
    <xf numFmtId="170" fontId="14" fillId="0" borderId="16" xfId="1" applyNumberFormat="1" applyFont="1" applyBorder="1" applyAlignment="1" applyProtection="1"/>
    <xf numFmtId="0" fontId="36" fillId="0" borderId="2" xfId="0" applyFont="1" applyBorder="1"/>
    <xf numFmtId="0" fontId="42" fillId="0" borderId="2" xfId="0" applyFont="1" applyBorder="1" applyAlignment="1">
      <alignment horizontal="center" wrapText="1"/>
    </xf>
    <xf numFmtId="10" fontId="14" fillId="0" borderId="0" xfId="2" applyNumberFormat="1" applyFont="1" applyFill="1" applyAlignment="1"/>
    <xf numFmtId="38" fontId="14" fillId="0" borderId="0" xfId="0" applyNumberFormat="1" applyFont="1" applyAlignment="1">
      <alignment horizontal="center"/>
    </xf>
    <xf numFmtId="6" fontId="14" fillId="0" borderId="0" xfId="0" applyNumberFormat="1" applyFont="1"/>
    <xf numFmtId="168" fontId="14" fillId="0" borderId="0" xfId="2" applyNumberFormat="1" applyFont="1" applyFill="1" applyAlignment="1">
      <alignment horizontal="center"/>
    </xf>
    <xf numFmtId="0" fontId="14" fillId="8" borderId="0" xfId="0" applyFont="1" applyFill="1" applyAlignment="1">
      <alignment horizontal="center" vertical="top"/>
    </xf>
    <xf numFmtId="49" fontId="16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right" vertical="top"/>
    </xf>
    <xf numFmtId="14" fontId="36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170" fontId="16" fillId="0" borderId="0" xfId="1" applyNumberFormat="1" applyFont="1" applyFill="1" applyBorder="1" applyProtection="1"/>
    <xf numFmtId="170" fontId="14" fillId="22" borderId="0" xfId="1" applyNumberFormat="1" applyFont="1" applyFill="1"/>
    <xf numFmtId="0" fontId="14" fillId="22" borderId="0" xfId="0" applyFont="1" applyFill="1"/>
    <xf numFmtId="0" fontId="14" fillId="0" borderId="0" xfId="0" applyFont="1" applyAlignment="1">
      <alignment horizontal="right"/>
    </xf>
    <xf numFmtId="0" fontId="23" fillId="0" borderId="0" xfId="0" applyFont="1" applyProtection="1">
      <protection locked="0"/>
    </xf>
    <xf numFmtId="0" fontId="29" fillId="0" borderId="0" xfId="0" applyFont="1" applyAlignment="1">
      <alignment horizontal="center"/>
    </xf>
    <xf numFmtId="170" fontId="14" fillId="0" borderId="0" xfId="1" applyNumberFormat="1" applyFont="1" applyFill="1"/>
    <xf numFmtId="170" fontId="14" fillId="0" borderId="1" xfId="1" applyNumberFormat="1" applyFont="1" applyFill="1" applyBorder="1"/>
    <xf numFmtId="170" fontId="14" fillId="0" borderId="1" xfId="1" applyNumberFormat="1" applyFont="1" applyBorder="1"/>
    <xf numFmtId="0" fontId="22" fillId="0" borderId="0" xfId="0" applyFont="1" applyAlignment="1">
      <alignment horizontal="left"/>
    </xf>
    <xf numFmtId="3" fontId="37" fillId="0" borderId="0" xfId="0" applyNumberFormat="1" applyFont="1" applyProtection="1">
      <protection locked="0"/>
    </xf>
    <xf numFmtId="41" fontId="16" fillId="0" borderId="5" xfId="1" applyNumberFormat="1" applyFont="1" applyFill="1" applyBorder="1"/>
    <xf numFmtId="0" fontId="14" fillId="0" borderId="5" xfId="0" applyFont="1" applyBorder="1" applyProtection="1">
      <protection locked="0"/>
    </xf>
    <xf numFmtId="3" fontId="19" fillId="10" borderId="6" xfId="0" applyNumberFormat="1" applyFont="1" applyFill="1" applyBorder="1"/>
    <xf numFmtId="41" fontId="16" fillId="8" borderId="5" xfId="0" applyNumberFormat="1" applyFont="1" applyFill="1" applyBorder="1" applyAlignment="1">
      <alignment horizontal="right"/>
    </xf>
    <xf numFmtId="3" fontId="18" fillId="8" borderId="5" xfId="4" applyNumberFormat="1" applyFont="1" applyFill="1" applyBorder="1" applyAlignment="1">
      <alignment horizontal="left"/>
    </xf>
    <xf numFmtId="0" fontId="14" fillId="14" borderId="5" xfId="0" applyFont="1" applyFill="1" applyBorder="1"/>
    <xf numFmtId="170" fontId="14" fillId="14" borderId="5" xfId="1" applyNumberFormat="1" applyFont="1" applyFill="1" applyBorder="1"/>
    <xf numFmtId="170" fontId="23" fillId="0" borderId="5" xfId="1" applyNumberFormat="1" applyFont="1" applyBorder="1"/>
    <xf numFmtId="49" fontId="22" fillId="0" borderId="0" xfId="0" applyNumberFormat="1" applyFont="1"/>
    <xf numFmtId="49" fontId="18" fillId="0" borderId="0" xfId="0" applyNumberFormat="1" applyFont="1" applyAlignment="1">
      <alignment horizontal="left"/>
    </xf>
    <xf numFmtId="49" fontId="16" fillId="0" borderId="0" xfId="0" applyNumberFormat="1" applyFont="1"/>
    <xf numFmtId="49" fontId="16" fillId="0" borderId="5" xfId="0" applyNumberFormat="1" applyFont="1" applyBorder="1" applyAlignment="1">
      <alignment horizontal="left"/>
    </xf>
    <xf numFmtId="49" fontId="16" fillId="0" borderId="5" xfId="0" applyNumberFormat="1" applyFont="1" applyBorder="1"/>
    <xf numFmtId="49" fontId="18" fillId="8" borderId="5" xfId="0" applyNumberFormat="1" applyFont="1" applyFill="1" applyBorder="1" applyAlignment="1">
      <alignment horizontal="right"/>
    </xf>
    <xf numFmtId="49" fontId="18" fillId="4" borderId="8" xfId="0" applyNumberFormat="1" applyFont="1" applyFill="1" applyBorder="1" applyAlignment="1">
      <alignment horizontal="right"/>
    </xf>
    <xf numFmtId="49" fontId="18" fillId="0" borderId="0" xfId="0" applyNumberFormat="1" applyFont="1"/>
    <xf numFmtId="49" fontId="38" fillId="0" borderId="5" xfId="0" applyNumberFormat="1" applyFont="1" applyBorder="1" applyAlignment="1">
      <alignment vertical="center"/>
    </xf>
    <xf numFmtId="49" fontId="17" fillId="0" borderId="0" xfId="0" applyNumberFormat="1" applyFont="1"/>
    <xf numFmtId="49" fontId="14" fillId="0" borderId="5" xfId="1" applyNumberFormat="1" applyFont="1" applyBorder="1"/>
    <xf numFmtId="49" fontId="39" fillId="0" borderId="0" xfId="0" applyNumberFormat="1" applyFont="1" applyProtection="1">
      <protection locked="0"/>
    </xf>
    <xf numFmtId="49" fontId="14" fillId="0" borderId="0" xfId="0" applyNumberFormat="1" applyFont="1"/>
    <xf numFmtId="41" fontId="19" fillId="17" borderId="0" xfId="0" applyNumberFormat="1" applyFont="1" applyFill="1"/>
    <xf numFmtId="41" fontId="16" fillId="17" borderId="0" xfId="0" applyNumberFormat="1" applyFont="1" applyFill="1"/>
    <xf numFmtId="3" fontId="19" fillId="17" borderId="5" xfId="0" applyNumberFormat="1" applyFont="1" applyFill="1" applyBorder="1" applyAlignment="1">
      <alignment horizontal="left" indent="2"/>
    </xf>
    <xf numFmtId="41" fontId="16" fillId="17" borderId="5" xfId="0" applyNumberFormat="1" applyFont="1" applyFill="1" applyBorder="1"/>
    <xf numFmtId="41" fontId="19" fillId="17" borderId="2" xfId="0" applyNumberFormat="1" applyFont="1" applyFill="1" applyBorder="1"/>
    <xf numFmtId="41" fontId="16" fillId="17" borderId="2" xfId="0" applyNumberFormat="1" applyFont="1" applyFill="1" applyBorder="1"/>
    <xf numFmtId="3" fontId="19" fillId="17" borderId="5" xfId="0" applyNumberFormat="1" applyFont="1" applyFill="1" applyBorder="1" applyAlignment="1">
      <alignment horizontal="left"/>
    </xf>
    <xf numFmtId="41" fontId="14" fillId="17" borderId="5" xfId="0" applyNumberFormat="1" applyFont="1" applyFill="1" applyBorder="1"/>
    <xf numFmtId="0" fontId="14" fillId="4" borderId="5" xfId="0" applyFont="1" applyFill="1" applyBorder="1" applyAlignment="1">
      <alignment horizontal="right"/>
    </xf>
    <xf numFmtId="170" fontId="14" fillId="10" borderId="0" xfId="1" applyNumberFormat="1" applyFont="1" applyFill="1" applyBorder="1"/>
    <xf numFmtId="170" fontId="16" fillId="10" borderId="0" xfId="1" applyNumberFormat="1" applyFont="1" applyFill="1" applyBorder="1"/>
    <xf numFmtId="170" fontId="16" fillId="10" borderId="0" xfId="1" applyNumberFormat="1" applyFont="1" applyFill="1" applyBorder="1" applyProtection="1">
      <protection locked="0"/>
    </xf>
    <xf numFmtId="0" fontId="16" fillId="10" borderId="0" xfId="0" applyFont="1" applyFill="1" applyProtection="1">
      <protection locked="0"/>
    </xf>
    <xf numFmtId="43" fontId="18" fillId="0" borderId="0" xfId="1" applyFont="1" applyFill="1" applyBorder="1" applyAlignment="1">
      <alignment horizontal="right"/>
    </xf>
    <xf numFmtId="43" fontId="16" fillId="0" borderId="0" xfId="1" applyFont="1" applyFill="1"/>
    <xf numFmtId="0" fontId="50" fillId="0" borderId="0" xfId="0" applyFont="1" applyAlignment="1">
      <alignment horizontal="right" vertical="center"/>
    </xf>
    <xf numFmtId="41" fontId="16" fillId="10" borderId="0" xfId="0" quotePrefix="1" applyNumberFormat="1" applyFont="1" applyFill="1" applyAlignment="1">
      <alignment horizontal="center" vertical="center"/>
    </xf>
    <xf numFmtId="41" fontId="16" fillId="10" borderId="0" xfId="0" quotePrefix="1" applyNumberFormat="1" applyFont="1" applyFill="1" applyAlignment="1" applyProtection="1">
      <alignment horizontal="center" vertical="center"/>
      <protection locked="0"/>
    </xf>
    <xf numFmtId="41" fontId="29" fillId="10" borderId="0" xfId="1" applyNumberFormat="1" applyFont="1" applyFill="1" applyBorder="1" applyAlignment="1">
      <alignment vertical="center"/>
    </xf>
    <xf numFmtId="41" fontId="14" fillId="10" borderId="5" xfId="1" applyNumberFormat="1" applyFont="1" applyFill="1" applyBorder="1" applyAlignment="1">
      <alignment horizontal="right" vertical="center"/>
    </xf>
    <xf numFmtId="41" fontId="16" fillId="10" borderId="5" xfId="1" applyNumberFormat="1" applyFont="1" applyFill="1" applyBorder="1" applyProtection="1">
      <protection locked="0"/>
    </xf>
    <xf numFmtId="41" fontId="14" fillId="10" borderId="17" xfId="1" applyNumberFormat="1" applyFont="1" applyFill="1" applyBorder="1" applyAlignment="1">
      <alignment horizontal="right" vertical="center"/>
    </xf>
    <xf numFmtId="41" fontId="14" fillId="10" borderId="7" xfId="1" applyNumberFormat="1" applyFont="1" applyFill="1" applyBorder="1" applyAlignment="1">
      <alignment horizontal="right" vertical="center"/>
    </xf>
    <xf numFmtId="41" fontId="14" fillId="10" borderId="7" xfId="1" applyNumberFormat="1" applyFont="1" applyFill="1" applyBorder="1" applyProtection="1">
      <protection locked="0"/>
    </xf>
    <xf numFmtId="41" fontId="14" fillId="10" borderId="5" xfId="1" applyNumberFormat="1" applyFont="1" applyFill="1" applyBorder="1"/>
    <xf numFmtId="41" fontId="17" fillId="16" borderId="8" xfId="1" applyNumberFormat="1" applyFont="1" applyFill="1" applyBorder="1"/>
    <xf numFmtId="41" fontId="16" fillId="0" borderId="5" xfId="1" applyNumberFormat="1" applyFont="1" applyBorder="1" applyProtection="1">
      <protection locked="0"/>
    </xf>
    <xf numFmtId="41" fontId="16" fillId="0" borderId="2" xfId="0" applyNumberFormat="1" applyFont="1" applyBorder="1"/>
    <xf numFmtId="41" fontId="16" fillId="0" borderId="2" xfId="1" applyNumberFormat="1" applyFont="1" applyFill="1" applyBorder="1"/>
    <xf numFmtId="41" fontId="16" fillId="4" borderId="15" xfId="0" applyNumberFormat="1" applyFont="1" applyFill="1" applyBorder="1"/>
    <xf numFmtId="41" fontId="16" fillId="0" borderId="0" xfId="0" applyNumberFormat="1" applyFont="1" applyAlignment="1">
      <alignment horizontal="center" wrapText="1"/>
    </xf>
    <xf numFmtId="41" fontId="16" fillId="0" borderId="0" xfId="1" applyNumberFormat="1" applyFont="1" applyAlignment="1">
      <alignment horizontal="center" wrapText="1"/>
    </xf>
    <xf numFmtId="41" fontId="16" fillId="0" borderId="0" xfId="1" applyNumberFormat="1" applyFont="1" applyAlignment="1" applyProtection="1">
      <alignment horizontal="center" wrapText="1"/>
      <protection locked="0"/>
    </xf>
    <xf numFmtId="41" fontId="16" fillId="0" borderId="0" xfId="0" quotePrefix="1" applyNumberFormat="1" applyFont="1" applyAlignment="1">
      <alignment horizontal="center"/>
    </xf>
    <xf numFmtId="41" fontId="16" fillId="0" borderId="0" xfId="1" quotePrefix="1" applyNumberFormat="1" applyFont="1" applyAlignment="1">
      <alignment horizontal="center"/>
    </xf>
    <xf numFmtId="41" fontId="16" fillId="0" borderId="0" xfId="1" quotePrefix="1" applyNumberFormat="1" applyFont="1" applyAlignment="1" applyProtection="1">
      <alignment horizontal="center"/>
      <protection locked="0"/>
    </xf>
    <xf numFmtId="41" fontId="16" fillId="4" borderId="5" xfId="1" applyNumberFormat="1" applyFont="1" applyFill="1" applyBorder="1" applyAlignment="1">
      <alignment horizontal="right"/>
    </xf>
    <xf numFmtId="41" fontId="16" fillId="4" borderId="5" xfId="1" applyNumberFormat="1" applyFont="1" applyFill="1" applyBorder="1"/>
    <xf numFmtId="41" fontId="16" fillId="0" borderId="0" xfId="1" applyNumberFormat="1" applyFont="1" applyFill="1" applyBorder="1" applyAlignment="1">
      <alignment horizontal="right"/>
    </xf>
    <xf numFmtId="41" fontId="14" fillId="0" borderId="0" xfId="0" applyNumberFormat="1" applyFont="1" applyAlignment="1" applyProtection="1">
      <alignment horizontal="center"/>
      <protection locked="0"/>
    </xf>
    <xf numFmtId="41" fontId="16" fillId="0" borderId="0" xfId="1" applyNumberFormat="1" applyFont="1" applyAlignment="1">
      <alignment horizontal="left"/>
    </xf>
    <xf numFmtId="41" fontId="16" fillId="0" borderId="5" xfId="1" applyNumberFormat="1" applyFont="1" applyBorder="1" applyAlignment="1">
      <alignment horizontal="left"/>
    </xf>
    <xf numFmtId="41" fontId="16" fillId="0" borderId="5" xfId="0" applyNumberFormat="1" applyFont="1" applyBorder="1" applyAlignment="1">
      <alignment horizontal="left"/>
    </xf>
    <xf numFmtId="41" fontId="16" fillId="8" borderId="5" xfId="0" applyNumberFormat="1" applyFont="1" applyFill="1" applyBorder="1"/>
    <xf numFmtId="41" fontId="16" fillId="8" borderId="5" xfId="1" applyNumberFormat="1" applyFont="1" applyFill="1" applyBorder="1"/>
    <xf numFmtId="41" fontId="16" fillId="4" borderId="8" xfId="0" applyNumberFormat="1" applyFont="1" applyFill="1" applyBorder="1"/>
    <xf numFmtId="41" fontId="23" fillId="0" borderId="5" xfId="0" applyNumberFormat="1" applyFont="1" applyBorder="1" applyAlignment="1">
      <alignment horizontal="left"/>
    </xf>
    <xf numFmtId="41" fontId="23" fillId="0" borderId="5" xfId="0" applyNumberFormat="1" applyFont="1" applyBorder="1"/>
    <xf numFmtId="41" fontId="18" fillId="0" borderId="5" xfId="0" applyNumberFormat="1" applyFont="1" applyBorder="1"/>
    <xf numFmtId="41" fontId="16" fillId="0" borderId="0" xfId="0" applyNumberFormat="1" applyFont="1" applyProtection="1">
      <protection locked="0"/>
    </xf>
    <xf numFmtId="41" fontId="16" fillId="0" borderId="5" xfId="1" applyNumberFormat="1" applyFont="1" applyFill="1" applyBorder="1" applyAlignment="1">
      <alignment horizontal="right"/>
    </xf>
    <xf numFmtId="41" fontId="16" fillId="0" borderId="5" xfId="1" applyNumberFormat="1" applyFont="1" applyFill="1" applyBorder="1" applyAlignment="1">
      <alignment horizontal="center"/>
    </xf>
    <xf numFmtId="41" fontId="21" fillId="4" borderId="5" xfId="1" applyNumberFormat="1" applyFont="1" applyFill="1" applyBorder="1" applyAlignment="1">
      <alignment horizontal="left"/>
    </xf>
    <xf numFmtId="41" fontId="21" fillId="8" borderId="5" xfId="1" applyNumberFormat="1" applyFont="1" applyFill="1" applyBorder="1"/>
    <xf numFmtId="41" fontId="16" fillId="0" borderId="1" xfId="1" applyNumberFormat="1" applyFont="1" applyBorder="1" applyAlignment="1">
      <alignment horizontal="right"/>
    </xf>
    <xf numFmtId="3" fontId="19" fillId="0" borderId="5" xfId="0" applyNumberFormat="1" applyFont="1" applyBorder="1"/>
    <xf numFmtId="0" fontId="19" fillId="0" borderId="5" xfId="0" applyFont="1" applyBorder="1"/>
    <xf numFmtId="41" fontId="19" fillId="0" borderId="10" xfId="0" applyNumberFormat="1" applyFont="1" applyBorder="1"/>
    <xf numFmtId="0" fontId="17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3" fontId="16" fillId="0" borderId="0" xfId="1" applyNumberFormat="1" applyFont="1" applyFill="1" applyAlignment="1">
      <alignment horizontal="center"/>
    </xf>
    <xf numFmtId="3" fontId="16" fillId="3" borderId="0" xfId="1" applyNumberFormat="1" applyFont="1" applyFill="1" applyAlignment="1">
      <alignment horizontal="center"/>
    </xf>
    <xf numFmtId="41" fontId="16" fillId="0" borderId="5" xfId="1" applyNumberFormat="1" applyFont="1" applyFill="1" applyBorder="1" applyAlignment="1" applyProtection="1">
      <protection locked="0"/>
    </xf>
    <xf numFmtId="41" fontId="16" fillId="0" borderId="5" xfId="1" applyNumberFormat="1" applyFont="1" applyBorder="1" applyAlignment="1" applyProtection="1">
      <protection locked="0"/>
    </xf>
    <xf numFmtId="41" fontId="16" fillId="0" borderId="5" xfId="1" applyNumberFormat="1" applyFont="1" applyFill="1" applyBorder="1" applyAlignment="1" applyProtection="1"/>
    <xf numFmtId="41" fontId="16" fillId="8" borderId="7" xfId="1" applyNumberFormat="1" applyFont="1" applyFill="1" applyBorder="1" applyAlignment="1" applyProtection="1"/>
    <xf numFmtId="41" fontId="16" fillId="0" borderId="8" xfId="1" applyNumberFormat="1" applyFont="1" applyFill="1" applyBorder="1" applyAlignment="1" applyProtection="1"/>
    <xf numFmtId="41" fontId="16" fillId="8" borderId="5" xfId="1" applyNumberFormat="1" applyFont="1" applyFill="1" applyBorder="1" applyAlignment="1" applyProtection="1">
      <protection locked="0"/>
    </xf>
    <xf numFmtId="41" fontId="16" fillId="0" borderId="17" xfId="1" applyNumberFormat="1" applyFont="1" applyFill="1" applyBorder="1" applyAlignment="1" applyProtection="1">
      <protection locked="0"/>
    </xf>
    <xf numFmtId="41" fontId="16" fillId="0" borderId="7" xfId="1" applyNumberFormat="1" applyFont="1" applyFill="1" applyBorder="1" applyAlignment="1" applyProtection="1"/>
    <xf numFmtId="41" fontId="16" fillId="4" borderId="5" xfId="1" applyNumberFormat="1" applyFont="1" applyFill="1" applyBorder="1" applyAlignment="1" applyProtection="1"/>
    <xf numFmtId="41" fontId="18" fillId="0" borderId="0" xfId="1" applyNumberFormat="1" applyFont="1" applyAlignment="1" applyProtection="1">
      <alignment horizontal="center"/>
      <protection locked="0"/>
    </xf>
    <xf numFmtId="41" fontId="16" fillId="4" borderId="5" xfId="1" applyNumberFormat="1" applyFont="1" applyFill="1" applyBorder="1" applyAlignment="1" applyProtection="1">
      <protection locked="0"/>
    </xf>
    <xf numFmtId="41" fontId="16" fillId="0" borderId="0" xfId="1" applyNumberFormat="1" applyFont="1" applyFill="1" applyAlignment="1" applyProtection="1"/>
    <xf numFmtId="41" fontId="16" fillId="0" borderId="0" xfId="1" applyNumberFormat="1" applyFont="1" applyFill="1" applyAlignment="1" applyProtection="1">
      <protection locked="0"/>
    </xf>
    <xf numFmtId="41" fontId="16" fillId="0" borderId="0" xfId="1" applyNumberFormat="1" applyFont="1" applyAlignment="1" applyProtection="1">
      <protection locked="0"/>
    </xf>
    <xf numFmtId="10" fontId="16" fillId="10" borderId="0" xfId="2" applyNumberFormat="1" applyFont="1" applyFill="1"/>
    <xf numFmtId="10" fontId="16" fillId="10" borderId="0" xfId="2" applyNumberFormat="1" applyFont="1" applyFill="1" applyAlignment="1">
      <alignment horizontal="center"/>
    </xf>
    <xf numFmtId="0" fontId="14" fillId="10" borderId="0" xfId="0" applyFont="1" applyFill="1" applyAlignment="1">
      <alignment wrapText="1"/>
    </xf>
    <xf numFmtId="0" fontId="14" fillId="10" borderId="21" xfId="0" applyFont="1" applyFill="1" applyBorder="1" applyAlignment="1">
      <alignment vertical="center" wrapText="1"/>
    </xf>
    <xf numFmtId="0" fontId="17" fillId="24" borderId="0" xfId="0" applyFont="1" applyFill="1"/>
    <xf numFmtId="0" fontId="14" fillId="10" borderId="23" xfId="0" applyFont="1" applyFill="1" applyBorder="1" applyAlignment="1">
      <alignment vertical="center" wrapText="1"/>
    </xf>
    <xf numFmtId="0" fontId="14" fillId="10" borderId="21" xfId="0" applyFont="1" applyFill="1" applyBorder="1" applyAlignment="1">
      <alignment horizontal="left" vertical="center" wrapText="1" indent="1"/>
    </xf>
    <xf numFmtId="0" fontId="14" fillId="10" borderId="20" xfId="0" applyFont="1" applyFill="1" applyBorder="1" applyAlignment="1">
      <alignment vertical="center" wrapText="1"/>
    </xf>
    <xf numFmtId="0" fontId="14" fillId="10" borderId="28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horizontal="left" vertical="center" wrapText="1" indent="1"/>
    </xf>
    <xf numFmtId="0" fontId="14" fillId="10" borderId="18" xfId="0" applyFont="1" applyFill="1" applyBorder="1" applyAlignment="1">
      <alignment vertical="center" wrapText="1"/>
    </xf>
    <xf numFmtId="0" fontId="14" fillId="10" borderId="14" xfId="0" applyFont="1" applyFill="1" applyBorder="1" applyAlignment="1">
      <alignment vertical="center" wrapText="1"/>
    </xf>
    <xf numFmtId="0" fontId="5" fillId="10" borderId="0" xfId="0" applyFont="1" applyFill="1" applyAlignment="1">
      <alignment vertical="top" wrapText="1"/>
    </xf>
    <xf numFmtId="169" fontId="5" fillId="10" borderId="0" xfId="0" applyNumberFormat="1" applyFont="1" applyFill="1" applyAlignment="1">
      <alignment vertical="top" wrapText="1"/>
    </xf>
    <xf numFmtId="3" fontId="15" fillId="8" borderId="5" xfId="0" applyNumberFormat="1" applyFont="1" applyFill="1" applyBorder="1" applyAlignment="1">
      <alignment horizontal="right"/>
    </xf>
    <xf numFmtId="38" fontId="18" fillId="10" borderId="1" xfId="0" applyNumberFormat="1" applyFont="1" applyFill="1" applyBorder="1" applyAlignment="1">
      <alignment horizontal="center"/>
    </xf>
    <xf numFmtId="10" fontId="16" fillId="11" borderId="0" xfId="0" applyNumberFormat="1" applyFont="1" applyFill="1" applyAlignment="1">
      <alignment horizontal="center"/>
    </xf>
    <xf numFmtId="0" fontId="42" fillId="10" borderId="0" xfId="0" applyFont="1" applyFill="1" applyAlignment="1" applyProtection="1">
      <alignment horizontal="center"/>
      <protection locked="0"/>
    </xf>
    <xf numFmtId="0" fontId="36" fillId="10" borderId="0" xfId="0" applyFont="1" applyFill="1" applyAlignment="1">
      <alignment horizontal="center"/>
    </xf>
    <xf numFmtId="0" fontId="40" fillId="10" borderId="0" xfId="0" applyFont="1" applyFill="1" applyAlignment="1">
      <alignment horizontal="center"/>
    </xf>
    <xf numFmtId="0" fontId="42" fillId="10" borderId="0" xfId="0" applyFont="1" applyFill="1" applyAlignment="1">
      <alignment horizontal="center"/>
    </xf>
    <xf numFmtId="0" fontId="36" fillId="0" borderId="0" xfId="0" applyFont="1" applyAlignment="1">
      <alignment horizontal="center" wrapText="1"/>
    </xf>
    <xf numFmtId="0" fontId="45" fillId="10" borderId="0" xfId="0" applyFont="1" applyFill="1" applyAlignment="1">
      <alignment horizontal="center"/>
    </xf>
    <xf numFmtId="0" fontId="36" fillId="10" borderId="0" xfId="0" applyFont="1" applyFill="1" applyAlignment="1">
      <alignment horizontal="center" wrapText="1"/>
    </xf>
    <xf numFmtId="170" fontId="14" fillId="14" borderId="9" xfId="1" applyNumberFormat="1" applyFont="1" applyFill="1" applyBorder="1"/>
    <xf numFmtId="0" fontId="41" fillId="0" borderId="0" xfId="0" applyFont="1" applyAlignment="1">
      <alignment horizontal="center"/>
    </xf>
    <xf numFmtId="0" fontId="61" fillId="27" borderId="0" xfId="0" applyFont="1" applyFill="1" applyAlignment="1">
      <alignment wrapText="1"/>
    </xf>
    <xf numFmtId="170" fontId="26" fillId="0" borderId="0" xfId="1" applyNumberFormat="1" applyFont="1" applyFill="1"/>
    <xf numFmtId="3" fontId="16" fillId="0" borderId="0" xfId="0" applyNumberFormat="1" applyFont="1" applyAlignment="1" applyProtection="1">
      <alignment horizontal="center"/>
      <protection locked="0"/>
    </xf>
    <xf numFmtId="37" fontId="16" fillId="0" borderId="0" xfId="0" applyNumberFormat="1" applyFont="1" applyAlignment="1" applyProtection="1">
      <alignment horizontal="center"/>
      <protection locked="0"/>
    </xf>
    <xf numFmtId="10" fontId="16" fillId="0" borderId="0" xfId="0" applyNumberFormat="1" applyFont="1" applyAlignment="1" applyProtection="1">
      <alignment horizontal="center"/>
      <protection locked="0"/>
    </xf>
    <xf numFmtId="37" fontId="30" fillId="27" borderId="0" xfId="4" applyNumberFormat="1" applyFont="1" applyFill="1" applyAlignment="1" applyProtection="1">
      <alignment horizontal="center"/>
      <protection locked="0"/>
    </xf>
    <xf numFmtId="37" fontId="30" fillId="28" borderId="0" xfId="4" applyNumberFormat="1" applyFont="1" applyFill="1" applyAlignment="1" applyProtection="1">
      <alignment horizontal="center"/>
      <protection locked="0"/>
    </xf>
    <xf numFmtId="37" fontId="18" fillId="0" borderId="0" xfId="0" applyNumberFormat="1" applyFont="1" applyAlignment="1" applyProtection="1">
      <alignment horizontal="center"/>
      <protection locked="0"/>
    </xf>
    <xf numFmtId="37" fontId="35" fillId="7" borderId="0" xfId="4" applyNumberFormat="1" applyFont="1" applyFill="1" applyAlignment="1" applyProtection="1">
      <alignment horizontal="center"/>
      <protection locked="0"/>
    </xf>
    <xf numFmtId="37" fontId="29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43" fontId="16" fillId="0" borderId="0" xfId="1" applyFont="1" applyAlignment="1" applyProtection="1">
      <alignment horizontal="center"/>
      <protection locked="0"/>
    </xf>
    <xf numFmtId="41" fontId="14" fillId="10" borderId="6" xfId="1" applyNumberFormat="1" applyFont="1" applyFill="1" applyBorder="1" applyAlignment="1">
      <alignment horizontal="right" vertical="center"/>
    </xf>
    <xf numFmtId="3" fontId="19" fillId="17" borderId="2" xfId="0" applyNumberFormat="1" applyFont="1" applyFill="1" applyBorder="1" applyAlignment="1">
      <alignment horizontal="left" indent="1"/>
    </xf>
    <xf numFmtId="174" fontId="16" fillId="0" borderId="0" xfId="0" quotePrefix="1" applyNumberFormat="1" applyFont="1" applyAlignment="1">
      <alignment horizontal="center"/>
    </xf>
    <xf numFmtId="175" fontId="16" fillId="0" borderId="0" xfId="0" quotePrefix="1" applyNumberFormat="1" applyFont="1" applyAlignment="1">
      <alignment horizontal="center"/>
    </xf>
    <xf numFmtId="175" fontId="14" fillId="0" borderId="0" xfId="0" applyNumberFormat="1" applyFont="1" applyAlignment="1">
      <alignment horizontal="center"/>
    </xf>
    <xf numFmtId="41" fontId="14" fillId="29" borderId="5" xfId="0" applyNumberFormat="1" applyFont="1" applyFill="1" applyBorder="1"/>
    <xf numFmtId="41" fontId="14" fillId="29" borderId="9" xfId="0" applyNumberFormat="1" applyFont="1" applyFill="1" applyBorder="1"/>
    <xf numFmtId="41" fontId="14" fillId="30" borderId="5" xfId="0" applyNumberFormat="1" applyFont="1" applyFill="1" applyBorder="1"/>
    <xf numFmtId="41" fontId="14" fillId="30" borderId="9" xfId="0" applyNumberFormat="1" applyFont="1" applyFill="1" applyBorder="1"/>
    <xf numFmtId="41" fontId="14" fillId="30" borderId="10" xfId="0" applyNumberFormat="1" applyFont="1" applyFill="1" applyBorder="1"/>
    <xf numFmtId="41" fontId="19" fillId="4" borderId="3" xfId="1" applyNumberFormat="1" applyFont="1" applyFill="1" applyBorder="1" applyAlignment="1" applyProtection="1">
      <alignment horizontal="right"/>
    </xf>
    <xf numFmtId="170" fontId="14" fillId="0" borderId="29" xfId="1" applyNumberFormat="1" applyFont="1" applyBorder="1"/>
    <xf numFmtId="168" fontId="14" fillId="0" borderId="29" xfId="1" applyNumberFormat="1" applyFont="1" applyBorder="1"/>
    <xf numFmtId="41" fontId="16" fillId="3" borderId="0" xfId="0" applyNumberFormat="1" applyFont="1" applyFill="1" applyProtection="1">
      <protection locked="0"/>
    </xf>
    <xf numFmtId="41" fontId="14" fillId="3" borderId="0" xfId="0" applyNumberFormat="1" applyFont="1" applyFill="1"/>
    <xf numFmtId="0" fontId="18" fillId="0" borderId="0" xfId="0" applyFont="1" applyAlignment="1">
      <alignment horizontal="left"/>
    </xf>
    <xf numFmtId="41" fontId="14" fillId="0" borderId="5" xfId="0" applyNumberFormat="1" applyFont="1" applyBorder="1" applyAlignment="1">
      <alignment horizontal="right" vertical="center"/>
    </xf>
    <xf numFmtId="41" fontId="14" fillId="4" borderId="2" xfId="1" applyNumberFormat="1" applyFont="1" applyFill="1" applyBorder="1"/>
    <xf numFmtId="41" fontId="17" fillId="4" borderId="2" xfId="0" applyNumberFormat="1" applyFont="1" applyFill="1" applyBorder="1"/>
    <xf numFmtId="41" fontId="16" fillId="0" borderId="8" xfId="1" applyNumberFormat="1" applyFont="1" applyFill="1" applyBorder="1" applyAlignment="1" applyProtection="1">
      <protection locked="0"/>
    </xf>
    <xf numFmtId="41" fontId="16" fillId="0" borderId="8" xfId="1" applyNumberFormat="1" applyFont="1" applyBorder="1" applyAlignment="1" applyProtection="1">
      <protection locked="0"/>
    </xf>
    <xf numFmtId="41" fontId="16" fillId="0" borderId="5" xfId="1" applyNumberFormat="1" applyFont="1" applyBorder="1" applyAlignment="1" applyProtection="1"/>
    <xf numFmtId="41" fontId="16" fillId="0" borderId="0" xfId="1" applyNumberFormat="1" applyFont="1" applyAlignment="1" applyProtection="1"/>
    <xf numFmtId="10" fontId="16" fillId="0" borderId="5" xfId="1" applyNumberFormat="1" applyFont="1" applyFill="1" applyBorder="1" applyAlignment="1" applyProtection="1"/>
    <xf numFmtId="41" fontId="16" fillId="0" borderId="2" xfId="1" applyNumberFormat="1" applyFont="1" applyBorder="1" applyAlignment="1" applyProtection="1">
      <alignment horizontal="center"/>
      <protection locked="0"/>
    </xf>
    <xf numFmtId="0" fontId="18" fillId="0" borderId="2" xfId="0" applyFont="1" applyBorder="1" applyProtection="1">
      <protection locked="0"/>
    </xf>
    <xf numFmtId="41" fontId="18" fillId="0" borderId="2" xfId="1" applyNumberFormat="1" applyFont="1" applyBorder="1" applyAlignment="1" applyProtection="1">
      <alignment horizontal="center"/>
      <protection locked="0"/>
    </xf>
    <xf numFmtId="3" fontId="16" fillId="0" borderId="0" xfId="3" applyNumberFormat="1" applyFont="1" applyAlignment="1" applyProtection="1">
      <alignment wrapText="1"/>
      <protection locked="0"/>
    </xf>
    <xf numFmtId="41" fontId="16" fillId="0" borderId="0" xfId="1" applyNumberFormat="1" applyFont="1" applyFill="1" applyBorder="1" applyAlignment="1" applyProtection="1"/>
    <xf numFmtId="41" fontId="14" fillId="0" borderId="13" xfId="0" applyNumberFormat="1" applyFont="1" applyBorder="1"/>
    <xf numFmtId="41" fontId="14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3" fontId="18" fillId="0" borderId="0" xfId="0" applyNumberFormat="1" applyFont="1" applyAlignment="1">
      <alignment vertical="top"/>
    </xf>
    <xf numFmtId="41" fontId="19" fillId="0" borderId="0" xfId="1" applyNumberFormat="1" applyFont="1" applyFill="1" applyBorder="1"/>
    <xf numFmtId="41" fontId="16" fillId="0" borderId="0" xfId="1" applyNumberFormat="1" applyFont="1" applyFill="1" applyBorder="1"/>
    <xf numFmtId="170" fontId="16" fillId="0" borderId="0" xfId="1" applyNumberFormat="1" applyFont="1" applyFill="1" applyProtection="1">
      <protection locked="0"/>
    </xf>
    <xf numFmtId="170" fontId="19" fillId="0" borderId="0" xfId="1" applyNumberFormat="1" applyFont="1" applyFill="1" applyAlignment="1" applyProtection="1">
      <alignment horizontal="center"/>
      <protection locked="0"/>
    </xf>
    <xf numFmtId="41" fontId="16" fillId="0" borderId="0" xfId="1" applyNumberFormat="1" applyFont="1" applyFill="1" applyProtection="1">
      <protection locked="0"/>
    </xf>
    <xf numFmtId="41" fontId="16" fillId="0" borderId="0" xfId="1" applyNumberFormat="1" applyFont="1" applyFill="1" applyAlignment="1">
      <alignment horizontal="right"/>
    </xf>
    <xf numFmtId="170" fontId="16" fillId="0" borderId="0" xfId="1" applyNumberFormat="1" applyFont="1" applyFill="1" applyAlignment="1">
      <alignment horizontal="right"/>
    </xf>
    <xf numFmtId="41" fontId="19" fillId="0" borderId="0" xfId="1" applyNumberFormat="1" applyFont="1" applyFill="1" applyBorder="1" applyAlignment="1" applyProtection="1">
      <alignment horizontal="right"/>
      <protection locked="0"/>
    </xf>
    <xf numFmtId="41" fontId="19" fillId="0" borderId="0" xfId="1" applyNumberFormat="1" applyFont="1" applyFill="1" applyProtection="1">
      <protection locked="0"/>
    </xf>
    <xf numFmtId="41" fontId="19" fillId="0" borderId="0" xfId="1" applyNumberFormat="1" applyFont="1" applyFill="1"/>
    <xf numFmtId="41" fontId="18" fillId="0" borderId="5" xfId="0" applyNumberFormat="1" applyFont="1" applyBorder="1" applyProtection="1">
      <protection locked="0"/>
    </xf>
    <xf numFmtId="3" fontId="16" fillId="0" borderId="5" xfId="0" applyNumberFormat="1" applyFont="1" applyBorder="1" applyAlignment="1">
      <alignment vertical="top"/>
    </xf>
    <xf numFmtId="41" fontId="18" fillId="4" borderId="8" xfId="0" applyNumberFormat="1" applyFont="1" applyFill="1" applyBorder="1" applyProtection="1">
      <protection locked="0"/>
    </xf>
    <xf numFmtId="41" fontId="41" fillId="0" borderId="0" xfId="0" applyNumberFormat="1" applyFont="1" applyAlignment="1" applyProtection="1">
      <alignment horizontal="center"/>
      <protection locked="0"/>
    </xf>
    <xf numFmtId="3" fontId="36" fillId="0" borderId="0" xfId="0" applyNumberFormat="1" applyFont="1" applyAlignment="1" applyProtection="1">
      <alignment horizontal="center"/>
      <protection locked="0"/>
    </xf>
    <xf numFmtId="0" fontId="62" fillId="4" borderId="8" xfId="0" applyFont="1" applyFill="1" applyBorder="1" applyAlignment="1">
      <alignment horizontal="right"/>
    </xf>
    <xf numFmtId="0" fontId="21" fillId="0" borderId="5" xfId="0" applyFont="1" applyBorder="1"/>
    <xf numFmtId="41" fontId="19" fillId="8" borderId="5" xfId="0" applyNumberFormat="1" applyFont="1" applyFill="1" applyBorder="1"/>
    <xf numFmtId="0" fontId="21" fillId="4" borderId="5" xfId="0" applyFont="1" applyFill="1" applyBorder="1" applyAlignment="1">
      <alignment horizontal="right" wrapText="1" readingOrder="1"/>
    </xf>
    <xf numFmtId="43" fontId="40" fillId="0" borderId="0" xfId="1" applyFont="1" applyAlignment="1">
      <alignment horizontal="center"/>
    </xf>
    <xf numFmtId="43" fontId="40" fillId="0" borderId="0" xfId="1" applyFont="1" applyFill="1" applyAlignment="1">
      <alignment horizontal="center"/>
    </xf>
    <xf numFmtId="10" fontId="36" fillId="0" borderId="0" xfId="0" applyNumberFormat="1" applyFont="1" applyAlignment="1" applyProtection="1">
      <alignment horizontal="center"/>
      <protection locked="0"/>
    </xf>
    <xf numFmtId="0" fontId="16" fillId="31" borderId="0" xfId="0" applyFont="1" applyFill="1" applyProtection="1">
      <protection locked="0"/>
    </xf>
    <xf numFmtId="41" fontId="16" fillId="19" borderId="5" xfId="1" applyNumberFormat="1" applyFont="1" applyFill="1" applyBorder="1" applyAlignment="1">
      <alignment horizontal="right"/>
    </xf>
    <xf numFmtId="0" fontId="21" fillId="0" borderId="0" xfId="0" applyFont="1" applyAlignment="1">
      <alignment wrapText="1"/>
    </xf>
    <xf numFmtId="0" fontId="32" fillId="0" borderId="0" xfId="0" applyFont="1" applyAlignment="1">
      <alignment horizontal="right" wrapText="1"/>
    </xf>
    <xf numFmtId="43" fontId="18" fillId="0" borderId="0" xfId="1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41" fontId="16" fillId="0" borderId="1" xfId="1" applyNumberFormat="1" applyFont="1" applyBorder="1"/>
    <xf numFmtId="41" fontId="16" fillId="19" borderId="8" xfId="1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left"/>
    </xf>
    <xf numFmtId="14" fontId="14" fillId="0" borderId="0" xfId="0" applyNumberFormat="1" applyFont="1"/>
    <xf numFmtId="0" fontId="14" fillId="4" borderId="0" xfId="0" applyFont="1" applyFill="1" applyAlignment="1">
      <alignment horizontal="center"/>
    </xf>
    <xf numFmtId="14" fontId="14" fillId="4" borderId="0" xfId="0" applyNumberFormat="1" applyFont="1" applyFill="1" applyAlignment="1">
      <alignment horizontal="center"/>
    </xf>
    <xf numFmtId="3" fontId="19" fillId="4" borderId="0" xfId="0" applyNumberFormat="1" applyFont="1" applyFill="1" applyAlignment="1">
      <alignment horizontal="center"/>
    </xf>
    <xf numFmtId="14" fontId="14" fillId="0" borderId="5" xfId="0" applyNumberFormat="1" applyFont="1" applyBorder="1"/>
    <xf numFmtId="0" fontId="14" fillId="4" borderId="0" xfId="0" applyFont="1" applyFill="1"/>
    <xf numFmtId="14" fontId="14" fillId="4" borderId="0" xfId="0" applyNumberFormat="1" applyFont="1" applyFill="1"/>
    <xf numFmtId="0" fontId="14" fillId="4" borderId="5" xfId="0" applyFont="1" applyFill="1" applyBorder="1"/>
    <xf numFmtId="14" fontId="14" fillId="4" borderId="5" xfId="0" applyNumberFormat="1" applyFont="1" applyFill="1" applyBorder="1"/>
    <xf numFmtId="0" fontId="14" fillId="8" borderId="5" xfId="0" applyFont="1" applyFill="1" applyBorder="1"/>
    <xf numFmtId="0" fontId="14" fillId="8" borderId="5" xfId="0" applyFont="1" applyFill="1" applyBorder="1" applyAlignment="1">
      <alignment horizontal="left"/>
    </xf>
    <xf numFmtId="14" fontId="14" fillId="0" borderId="6" xfId="0" applyNumberFormat="1" applyFont="1" applyBorder="1"/>
    <xf numFmtId="0" fontId="14" fillId="8" borderId="2" xfId="0" applyFont="1" applyFill="1" applyBorder="1" applyAlignment="1">
      <alignment horizontal="left"/>
    </xf>
    <xf numFmtId="0" fontId="14" fillId="8" borderId="2" xfId="0" applyFont="1" applyFill="1" applyBorder="1"/>
    <xf numFmtId="14" fontId="14" fillId="8" borderId="2" xfId="0" applyNumberFormat="1" applyFont="1" applyFill="1" applyBorder="1"/>
    <xf numFmtId="43" fontId="14" fillId="0" borderId="5" xfId="0" applyNumberFormat="1" applyFont="1" applyBorder="1"/>
    <xf numFmtId="43" fontId="14" fillId="0" borderId="6" xfId="0" applyNumberFormat="1" applyFont="1" applyBorder="1"/>
    <xf numFmtId="43" fontId="14" fillId="8" borderId="2" xfId="0" applyNumberFormat="1" applyFont="1" applyFill="1" applyBorder="1"/>
    <xf numFmtId="43" fontId="14" fillId="4" borderId="5" xfId="0" applyNumberFormat="1" applyFont="1" applyFill="1" applyBorder="1"/>
    <xf numFmtId="10" fontId="35" fillId="32" borderId="0" xfId="4" applyNumberFormat="1" applyFont="1" applyFill="1" applyAlignment="1" applyProtection="1">
      <alignment horizontal="center"/>
      <protection locked="0"/>
    </xf>
    <xf numFmtId="49" fontId="16" fillId="0" borderId="0" xfId="1" applyNumberFormat="1" applyFont="1" applyFill="1" applyBorder="1" applyAlignment="1" applyProtection="1">
      <alignment horizontal="center"/>
      <protection locked="0"/>
    </xf>
    <xf numFmtId="10" fontId="63" fillId="20" borderId="0" xfId="4" applyNumberFormat="1" applyFont="1" applyFill="1" applyAlignment="1">
      <alignment horizontal="center"/>
    </xf>
    <xf numFmtId="10" fontId="58" fillId="33" borderId="0" xfId="4" applyNumberFormat="1" applyFont="1" applyFill="1" applyAlignment="1">
      <alignment horizontal="center"/>
    </xf>
    <xf numFmtId="37" fontId="35" fillId="34" borderId="0" xfId="4" applyNumberFormat="1" applyFont="1" applyFill="1" applyAlignment="1" applyProtection="1">
      <alignment horizontal="center"/>
      <protection locked="0"/>
    </xf>
    <xf numFmtId="10" fontId="58" fillId="5" borderId="0" xfId="4" applyNumberFormat="1" applyFont="1" applyFill="1" applyAlignment="1">
      <alignment horizontal="center"/>
    </xf>
    <xf numFmtId="10" fontId="40" fillId="0" borderId="0" xfId="2" applyNumberFormat="1" applyFont="1"/>
    <xf numFmtId="10" fontId="44" fillId="9" borderId="0" xfId="4" applyNumberFormat="1" applyFont="1" applyFill="1" applyAlignment="1">
      <alignment horizontal="center"/>
    </xf>
    <xf numFmtId="10" fontId="58" fillId="6" borderId="0" xfId="4" applyNumberFormat="1" applyFont="1" applyFill="1" applyAlignment="1">
      <alignment horizontal="center"/>
    </xf>
    <xf numFmtId="10" fontId="63" fillId="31" borderId="0" xfId="4" applyNumberFormat="1" applyFont="1" applyFill="1" applyAlignment="1">
      <alignment horizontal="center"/>
    </xf>
    <xf numFmtId="10" fontId="58" fillId="31" borderId="0" xfId="4" applyNumberFormat="1" applyFont="1" applyFill="1" applyAlignment="1">
      <alignment horizontal="center"/>
    </xf>
    <xf numFmtId="0" fontId="18" fillId="22" borderId="2" xfId="0" applyFont="1" applyFill="1" applyBorder="1" applyAlignment="1">
      <alignment horizontal="right"/>
    </xf>
    <xf numFmtId="41" fontId="16" fillId="22" borderId="2" xfId="1" applyNumberFormat="1" applyFont="1" applyFill="1" applyBorder="1"/>
    <xf numFmtId="3" fontId="14" fillId="14" borderId="5" xfId="0" applyNumberFormat="1" applyFont="1" applyFill="1" applyBorder="1" applyProtection="1">
      <protection locked="0"/>
    </xf>
    <xf numFmtId="3" fontId="17" fillId="11" borderId="8" xfId="0" applyNumberFormat="1" applyFont="1" applyFill="1" applyBorder="1" applyAlignment="1" applyProtection="1">
      <alignment horizontal="right"/>
      <protection locked="0"/>
    </xf>
    <xf numFmtId="41" fontId="16" fillId="11" borderId="8" xfId="0" applyNumberFormat="1" applyFont="1" applyFill="1" applyBorder="1" applyAlignment="1">
      <alignment horizontal="right"/>
    </xf>
    <xf numFmtId="41" fontId="18" fillId="16" borderId="5" xfId="1" applyNumberFormat="1" applyFont="1" applyFill="1" applyBorder="1"/>
    <xf numFmtId="3" fontId="15" fillId="16" borderId="5" xfId="0" applyNumberFormat="1" applyFont="1" applyFill="1" applyBorder="1" applyAlignment="1">
      <alignment horizontal="right"/>
    </xf>
    <xf numFmtId="41" fontId="17" fillId="16" borderId="5" xfId="1" applyNumberFormat="1" applyFont="1" applyFill="1" applyBorder="1"/>
    <xf numFmtId="0" fontId="1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 wrapText="1"/>
      <protection locked="0"/>
    </xf>
    <xf numFmtId="0" fontId="16" fillId="0" borderId="0" xfId="0" applyFont="1" applyAlignment="1" applyProtection="1">
      <alignment horizontal="right"/>
      <protection locked="0"/>
    </xf>
    <xf numFmtId="10" fontId="14" fillId="0" borderId="0" xfId="0" applyNumberFormat="1" applyFont="1" applyAlignment="1" applyProtection="1">
      <alignment horizontal="right"/>
      <protection locked="0"/>
    </xf>
    <xf numFmtId="10" fontId="16" fillId="0" borderId="0" xfId="0" applyNumberFormat="1" applyFont="1" applyAlignment="1">
      <alignment horizontal="right"/>
    </xf>
    <xf numFmtId="43" fontId="18" fillId="8" borderId="0" xfId="1" applyFont="1" applyFill="1" applyAlignment="1">
      <alignment horizontal="right" wrapText="1"/>
    </xf>
    <xf numFmtId="41" fontId="21" fillId="8" borderId="5" xfId="1" applyNumberFormat="1" applyFont="1" applyFill="1" applyBorder="1" applyAlignment="1">
      <alignment horizontal="left"/>
    </xf>
    <xf numFmtId="3" fontId="18" fillId="8" borderId="0" xfId="0" applyNumberFormat="1" applyFont="1" applyFill="1" applyAlignment="1">
      <alignment horizontal="right" wrapText="1"/>
    </xf>
    <xf numFmtId="41" fontId="21" fillId="8" borderId="10" xfId="1" applyNumberFormat="1" applyFont="1" applyFill="1" applyBorder="1" applyAlignment="1">
      <alignment horizontal="left"/>
    </xf>
    <xf numFmtId="0" fontId="32" fillId="4" borderId="13" xfId="0" applyFont="1" applyFill="1" applyBorder="1" applyAlignment="1">
      <alignment horizontal="right" wrapText="1" readingOrder="1"/>
    </xf>
    <xf numFmtId="0" fontId="18" fillId="8" borderId="2" xfId="0" applyFont="1" applyFill="1" applyBorder="1" applyAlignment="1">
      <alignment horizontal="right"/>
    </xf>
    <xf numFmtId="41" fontId="16" fillId="8" borderId="2" xfId="1" applyNumberFormat="1" applyFont="1" applyFill="1" applyBorder="1"/>
    <xf numFmtId="0" fontId="51" fillId="36" borderId="0" xfId="0" applyFont="1" applyFill="1" applyAlignment="1">
      <alignment horizontal="right"/>
    </xf>
    <xf numFmtId="168" fontId="16" fillId="36" borderId="0" xfId="2" applyNumberFormat="1" applyFont="1" applyFill="1" applyBorder="1"/>
    <xf numFmtId="168" fontId="16" fillId="36" borderId="0" xfId="2" applyNumberFormat="1" applyFont="1" applyFill="1" applyBorder="1" applyAlignment="1">
      <alignment horizontal="right"/>
    </xf>
    <xf numFmtId="168" fontId="34" fillId="36" borderId="0" xfId="2" applyNumberFormat="1" applyFont="1" applyFill="1" applyBorder="1"/>
    <xf numFmtId="0" fontId="18" fillId="22" borderId="1" xfId="0" applyFont="1" applyFill="1" applyBorder="1" applyAlignment="1">
      <alignment horizontal="right"/>
    </xf>
    <xf numFmtId="41" fontId="16" fillId="22" borderId="1" xfId="1" applyNumberFormat="1" applyFont="1" applyFill="1" applyBorder="1"/>
    <xf numFmtId="0" fontId="18" fillId="22" borderId="2" xfId="0" applyFont="1" applyFill="1" applyBorder="1" applyAlignment="1">
      <alignment horizontal="right" vertical="center"/>
    </xf>
    <xf numFmtId="41" fontId="16" fillId="22" borderId="10" xfId="0" applyNumberFormat="1" applyFont="1" applyFill="1" applyBorder="1" applyAlignment="1">
      <alignment vertical="center"/>
    </xf>
    <xf numFmtId="41" fontId="16" fillId="22" borderId="5" xfId="0" applyNumberFormat="1" applyFont="1" applyFill="1" applyBorder="1" applyAlignment="1">
      <alignment vertical="center"/>
    </xf>
    <xf numFmtId="41" fontId="16" fillId="22" borderId="9" xfId="0" applyNumberFormat="1" applyFont="1" applyFill="1" applyBorder="1" applyAlignment="1">
      <alignment vertical="center"/>
    </xf>
    <xf numFmtId="41" fontId="16" fillId="22" borderId="2" xfId="0" applyNumberFormat="1" applyFont="1" applyFill="1" applyBorder="1" applyAlignment="1">
      <alignment vertical="center"/>
    </xf>
    <xf numFmtId="41" fontId="18" fillId="22" borderId="2" xfId="1" applyNumberFormat="1" applyFont="1" applyFill="1" applyBorder="1" applyAlignment="1">
      <alignment vertical="center"/>
    </xf>
    <xf numFmtId="0" fontId="18" fillId="4" borderId="5" xfId="0" applyFont="1" applyFill="1" applyBorder="1" applyAlignment="1">
      <alignment vertical="center"/>
    </xf>
    <xf numFmtId="41" fontId="18" fillId="4" borderId="5" xfId="0" applyNumberFormat="1" applyFont="1" applyFill="1" applyBorder="1" applyAlignment="1">
      <alignment vertical="center"/>
    </xf>
    <xf numFmtId="3" fontId="15" fillId="0" borderId="5" xfId="0" applyNumberFormat="1" applyFont="1" applyBorder="1" applyAlignment="1">
      <alignment horizontal="right"/>
    </xf>
    <xf numFmtId="3" fontId="37" fillId="37" borderId="0" xfId="0" applyNumberFormat="1" applyFont="1" applyFill="1" applyAlignment="1" applyProtection="1">
      <alignment horizontal="right"/>
      <protection locked="0"/>
    </xf>
    <xf numFmtId="172" fontId="34" fillId="37" borderId="0" xfId="2" applyNumberFormat="1" applyFont="1" applyFill="1"/>
    <xf numFmtId="3" fontId="37" fillId="14" borderId="5" xfId="0" applyNumberFormat="1" applyFont="1" applyFill="1" applyBorder="1" applyProtection="1">
      <protection locked="0"/>
    </xf>
    <xf numFmtId="41" fontId="34" fillId="14" borderId="5" xfId="1" applyNumberFormat="1" applyFont="1" applyFill="1" applyBorder="1"/>
    <xf numFmtId="172" fontId="34" fillId="37" borderId="0" xfId="2" applyNumberFormat="1" applyFont="1" applyFill="1" applyProtection="1">
      <protection locked="0"/>
    </xf>
    <xf numFmtId="172" fontId="14" fillId="37" borderId="0" xfId="2" applyNumberFormat="1" applyFont="1" applyFill="1"/>
    <xf numFmtId="3" fontId="51" fillId="37" borderId="0" xfId="0" applyNumberFormat="1" applyFont="1" applyFill="1" applyAlignment="1">
      <alignment horizontal="right"/>
    </xf>
    <xf numFmtId="168" fontId="34" fillId="37" borderId="0" xfId="0" applyNumberFormat="1" applyFont="1" applyFill="1"/>
    <xf numFmtId="41" fontId="34" fillId="37" borderId="0" xfId="0" applyNumberFormat="1" applyFont="1" applyFill="1"/>
    <xf numFmtId="3" fontId="51" fillId="36" borderId="0" xfId="0" applyNumberFormat="1" applyFont="1" applyFill="1" applyAlignment="1">
      <alignment horizontal="right"/>
    </xf>
    <xf numFmtId="168" fontId="34" fillId="36" borderId="0" xfId="0" applyNumberFormat="1" applyFont="1" applyFill="1"/>
    <xf numFmtId="0" fontId="17" fillId="22" borderId="3" xfId="0" applyFont="1" applyFill="1" applyBorder="1" applyAlignment="1">
      <alignment horizontal="right" vertical="center"/>
    </xf>
    <xf numFmtId="41" fontId="14" fillId="22" borderId="3" xfId="1" applyNumberFormat="1" applyFont="1" applyFill="1" applyBorder="1"/>
    <xf numFmtId="38" fontId="18" fillId="22" borderId="8" xfId="0" applyNumberFormat="1" applyFont="1" applyFill="1" applyBorder="1" applyAlignment="1">
      <alignment horizontal="right" vertical="center"/>
    </xf>
    <xf numFmtId="41" fontId="14" fillId="22" borderId="8" xfId="1" applyNumberFormat="1" applyFont="1" applyFill="1" applyBorder="1" applyAlignment="1">
      <alignment vertical="center"/>
    </xf>
    <xf numFmtId="3" fontId="17" fillId="36" borderId="8" xfId="0" quotePrefix="1" applyNumberFormat="1" applyFont="1" applyFill="1" applyBorder="1" applyAlignment="1">
      <alignment horizontal="left"/>
    </xf>
    <xf numFmtId="41" fontId="14" fillId="36" borderId="8" xfId="1" applyNumberFormat="1" applyFont="1" applyFill="1" applyBorder="1"/>
    <xf numFmtId="0" fontId="17" fillId="16" borderId="5" xfId="0" applyFont="1" applyFill="1" applyBorder="1" applyAlignment="1">
      <alignment horizontal="right" vertical="center"/>
    </xf>
    <xf numFmtId="41" fontId="14" fillId="16" borderId="5" xfId="1" applyNumberFormat="1" applyFont="1" applyFill="1" applyBorder="1" applyAlignment="1">
      <alignment vertical="center"/>
    </xf>
    <xf numFmtId="49" fontId="18" fillId="36" borderId="5" xfId="0" applyNumberFormat="1" applyFont="1" applyFill="1" applyBorder="1"/>
    <xf numFmtId="41" fontId="16" fillId="36" borderId="5" xfId="1" applyNumberFormat="1" applyFont="1" applyFill="1" applyBorder="1"/>
    <xf numFmtId="49" fontId="18" fillId="36" borderId="5" xfId="0" applyNumberFormat="1" applyFont="1" applyFill="1" applyBorder="1" applyAlignment="1">
      <alignment horizontal="left"/>
    </xf>
    <xf numFmtId="41" fontId="16" fillId="36" borderId="5" xfId="1" applyNumberFormat="1" applyFont="1" applyFill="1" applyBorder="1" applyProtection="1">
      <protection locked="0"/>
    </xf>
    <xf numFmtId="49" fontId="17" fillId="36" borderId="5" xfId="0" applyNumberFormat="1" applyFont="1" applyFill="1" applyBorder="1"/>
    <xf numFmtId="41" fontId="14" fillId="36" borderId="5" xfId="0" applyNumberFormat="1" applyFont="1" applyFill="1" applyBorder="1"/>
    <xf numFmtId="49" fontId="18" fillId="8" borderId="8" xfId="0" applyNumberFormat="1" applyFont="1" applyFill="1" applyBorder="1" applyAlignment="1">
      <alignment horizontal="right"/>
    </xf>
    <xf numFmtId="41" fontId="16" fillId="8" borderId="8" xfId="1" applyNumberFormat="1" applyFont="1" applyFill="1" applyBorder="1"/>
    <xf numFmtId="41" fontId="16" fillId="8" borderId="8" xfId="1" applyNumberFormat="1" applyFont="1" applyFill="1" applyBorder="1" applyProtection="1">
      <protection locked="0"/>
    </xf>
    <xf numFmtId="0" fontId="17" fillId="4" borderId="3" xfId="0" applyFont="1" applyFill="1" applyBorder="1" applyAlignment="1">
      <alignment horizontal="right"/>
    </xf>
    <xf numFmtId="41" fontId="17" fillId="4" borderId="3" xfId="0" applyNumberFormat="1" applyFont="1" applyFill="1" applyBorder="1"/>
    <xf numFmtId="0" fontId="17" fillId="4" borderId="3" xfId="0" applyFont="1" applyFill="1" applyBorder="1"/>
    <xf numFmtId="38" fontId="17" fillId="4" borderId="3" xfId="0" applyNumberFormat="1" applyFont="1" applyFill="1" applyBorder="1"/>
    <xf numFmtId="0" fontId="42" fillId="3" borderId="2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left"/>
    </xf>
    <xf numFmtId="3" fontId="15" fillId="8" borderId="5" xfId="0" applyNumberFormat="1" applyFont="1" applyFill="1" applyBorder="1" applyAlignment="1">
      <alignment horizontal="left"/>
    </xf>
    <xf numFmtId="0" fontId="17" fillId="4" borderId="8" xfId="0" applyFont="1" applyFill="1" applyBorder="1"/>
    <xf numFmtId="41" fontId="14" fillId="4" borderId="8" xfId="1" applyNumberFormat="1" applyFont="1" applyFill="1" applyBorder="1"/>
    <xf numFmtId="0" fontId="14" fillId="8" borderId="7" xfId="0" applyFont="1" applyFill="1" applyBorder="1"/>
    <xf numFmtId="41" fontId="14" fillId="8" borderId="7" xfId="1" applyNumberFormat="1" applyFont="1" applyFill="1" applyBorder="1"/>
    <xf numFmtId="41" fontId="16" fillId="8" borderId="7" xfId="1" applyNumberFormat="1" applyFont="1" applyFill="1" applyBorder="1"/>
    <xf numFmtId="3" fontId="18" fillId="37" borderId="5" xfId="0" quotePrefix="1" applyNumberFormat="1" applyFont="1" applyFill="1" applyBorder="1" applyAlignment="1">
      <alignment horizontal="right" vertical="center"/>
    </xf>
    <xf numFmtId="41" fontId="16" fillId="37" borderId="5" xfId="0" applyNumberFormat="1" applyFont="1" applyFill="1" applyBorder="1" applyAlignment="1">
      <alignment vertical="center"/>
    </xf>
    <xf numFmtId="41" fontId="14" fillId="0" borderId="0" xfId="1" applyNumberFormat="1" applyFont="1" applyFill="1" applyBorder="1"/>
    <xf numFmtId="10" fontId="14" fillId="0" borderId="0" xfId="2" applyNumberFormat="1" applyFont="1" applyFill="1"/>
    <xf numFmtId="0" fontId="58" fillId="38" borderId="0" xfId="4" applyFont="1" applyFill="1" applyAlignment="1" applyProtection="1">
      <alignment horizontal="center"/>
      <protection locked="0"/>
    </xf>
    <xf numFmtId="10" fontId="63" fillId="32" borderId="0" xfId="4" applyNumberFormat="1" applyFont="1" applyFill="1" applyAlignment="1" applyProtection="1">
      <alignment horizontal="center"/>
      <protection locked="0"/>
    </xf>
    <xf numFmtId="0" fontId="17" fillId="14" borderId="5" xfId="0" applyFont="1" applyFill="1" applyBorder="1" applyAlignment="1">
      <alignment horizontal="left" vertical="center"/>
    </xf>
    <xf numFmtId="170" fontId="64" fillId="0" borderId="0" xfId="1" applyNumberFormat="1" applyFont="1" applyFill="1" applyBorder="1"/>
    <xf numFmtId="0" fontId="60" fillId="26" borderId="1" xfId="0" applyFont="1" applyFill="1" applyBorder="1" applyAlignment="1">
      <alignment horizontal="center" vertical="center" wrapText="1"/>
    </xf>
    <xf numFmtId="169" fontId="60" fillId="26" borderId="31" xfId="0" applyNumberFormat="1" applyFont="1" applyFill="1" applyBorder="1" applyAlignment="1">
      <alignment horizontal="center" vertical="center" wrapText="1"/>
    </xf>
    <xf numFmtId="0" fontId="60" fillId="26" borderId="32" xfId="0" applyFont="1" applyFill="1" applyBorder="1" applyAlignment="1">
      <alignment horizontal="center" vertical="center" wrapText="1"/>
    </xf>
    <xf numFmtId="0" fontId="36" fillId="10" borderId="0" xfId="0" applyFont="1" applyFill="1" applyProtection="1">
      <protection locked="0"/>
    </xf>
    <xf numFmtId="0" fontId="36" fillId="10" borderId="0" xfId="0" applyFont="1" applyFill="1" applyAlignment="1" applyProtection="1">
      <alignment horizontal="left"/>
      <protection locked="0"/>
    </xf>
    <xf numFmtId="0" fontId="58" fillId="0" borderId="0" xfId="4" applyFont="1"/>
    <xf numFmtId="0" fontId="42" fillId="10" borderId="0" xfId="0" applyFont="1" applyFill="1"/>
    <xf numFmtId="0" fontId="36" fillId="10" borderId="0" xfId="0" applyFont="1" applyFill="1" applyAlignment="1">
      <alignment horizontal="left"/>
    </xf>
    <xf numFmtId="0" fontId="40" fillId="10" borderId="0" xfId="0" applyFont="1" applyFill="1" applyProtection="1">
      <protection locked="0"/>
    </xf>
    <xf numFmtId="43" fontId="31" fillId="0" borderId="5" xfId="1" applyFont="1" applyBorder="1" applyAlignment="1">
      <alignment horizontal="left"/>
    </xf>
    <xf numFmtId="0" fontId="66" fillId="0" borderId="0" xfId="0" applyFont="1"/>
    <xf numFmtId="0" fontId="42" fillId="0" borderId="0" xfId="0" applyFont="1" applyAlignment="1">
      <alignment horizontal="center" wrapText="1"/>
    </xf>
    <xf numFmtId="167" fontId="36" fillId="10" borderId="0" xfId="0" applyNumberFormat="1" applyFont="1" applyFill="1" applyAlignment="1">
      <alignment horizontal="center" vertical="center"/>
    </xf>
    <xf numFmtId="167" fontId="40" fillId="10" borderId="0" xfId="0" applyNumberFormat="1" applyFont="1" applyFill="1" applyAlignment="1">
      <alignment horizontal="center" vertical="center"/>
    </xf>
    <xf numFmtId="10" fontId="36" fillId="0" borderId="0" xfId="0" applyNumberFormat="1" applyFont="1"/>
    <xf numFmtId="0" fontId="30" fillId="38" borderId="0" xfId="4" applyFont="1" applyFill="1" applyAlignment="1" applyProtection="1">
      <alignment horizontal="center"/>
      <protection locked="0"/>
    </xf>
    <xf numFmtId="10" fontId="68" fillId="0" borderId="0" xfId="2" applyNumberFormat="1" applyFont="1"/>
    <xf numFmtId="10" fontId="40" fillId="2" borderId="0" xfId="2" applyNumberFormat="1" applyFont="1" applyFill="1"/>
    <xf numFmtId="43" fontId="40" fillId="0" borderId="0" xfId="1" applyFont="1"/>
    <xf numFmtId="43" fontId="40" fillId="0" borderId="0" xfId="1" applyFont="1" applyFill="1"/>
    <xf numFmtId="10" fontId="44" fillId="0" borderId="0" xfId="2" applyNumberFormat="1" applyFont="1" applyAlignment="1">
      <alignment horizontal="right"/>
    </xf>
    <xf numFmtId="10" fontId="40" fillId="0" borderId="0" xfId="2" applyNumberFormat="1" applyFont="1" applyFill="1"/>
    <xf numFmtId="10" fontId="63" fillId="35" borderId="0" xfId="4" quotePrefix="1" applyNumberFormat="1" applyFont="1" applyFill="1"/>
    <xf numFmtId="10" fontId="40" fillId="0" borderId="0" xfId="2" applyNumberFormat="1" applyFont="1" applyAlignment="1">
      <alignment horizontal="center"/>
    </xf>
    <xf numFmtId="167" fontId="36" fillId="0" borderId="0" xfId="0" applyNumberFormat="1" applyFont="1" applyAlignment="1">
      <alignment horizontal="center"/>
    </xf>
    <xf numFmtId="167" fontId="36" fillId="0" borderId="0" xfId="0" applyNumberFormat="1" applyFont="1"/>
    <xf numFmtId="167" fontId="42" fillId="0" borderId="0" xfId="0" applyNumberFormat="1" applyFont="1"/>
    <xf numFmtId="10" fontId="36" fillId="2" borderId="0" xfId="2" applyNumberFormat="1" applyFont="1" applyFill="1"/>
    <xf numFmtId="10" fontId="36" fillId="0" borderId="0" xfId="2" applyNumberFormat="1" applyFont="1" applyFill="1"/>
    <xf numFmtId="167" fontId="69" fillId="39" borderId="0" xfId="0" applyNumberFormat="1" applyFont="1" applyFill="1" applyAlignment="1">
      <alignment horizontal="center" vertical="center"/>
    </xf>
    <xf numFmtId="0" fontId="42" fillId="0" borderId="0" xfId="0" applyFont="1"/>
    <xf numFmtId="10" fontId="40" fillId="0" borderId="0" xfId="0" applyNumberFormat="1" applyFont="1" applyProtection="1">
      <protection locked="0"/>
    </xf>
    <xf numFmtId="167" fontId="40" fillId="0" borderId="0" xfId="0" applyNumberFormat="1" applyFont="1" applyProtection="1">
      <protection locked="0"/>
    </xf>
    <xf numFmtId="10" fontId="40" fillId="2" borderId="0" xfId="0" applyNumberFormat="1" applyFont="1" applyFill="1" applyProtection="1">
      <protection locked="0"/>
    </xf>
    <xf numFmtId="10" fontId="36" fillId="0" borderId="0" xfId="0" applyNumberFormat="1" applyFont="1" applyProtection="1">
      <protection locked="0"/>
    </xf>
    <xf numFmtId="49" fontId="16" fillId="3" borderId="0" xfId="0" applyNumberFormat="1" applyFont="1" applyFill="1"/>
    <xf numFmtId="41" fontId="16" fillId="0" borderId="0" xfId="1" applyNumberFormat="1" applyFont="1" applyBorder="1"/>
    <xf numFmtId="170" fontId="16" fillId="3" borderId="0" xfId="0" applyNumberFormat="1" applyFont="1" applyFill="1" applyProtection="1">
      <protection locked="0"/>
    </xf>
    <xf numFmtId="0" fontId="14" fillId="3" borderId="0" xfId="0" applyFont="1" applyFill="1" applyProtection="1">
      <protection locked="0"/>
    </xf>
    <xf numFmtId="41" fontId="16" fillId="0" borderId="5" xfId="0" applyNumberFormat="1" applyFont="1" applyBorder="1" applyProtection="1">
      <protection locked="0"/>
    </xf>
    <xf numFmtId="170" fontId="58" fillId="0" borderId="0" xfId="4" applyNumberFormat="1" applyFont="1" applyAlignment="1" applyProtection="1">
      <protection locked="0"/>
    </xf>
    <xf numFmtId="0" fontId="68" fillId="0" borderId="0" xfId="0" applyFont="1" applyProtection="1">
      <protection locked="0"/>
    </xf>
    <xf numFmtId="170" fontId="18" fillId="0" borderId="5" xfId="1" applyNumberFormat="1" applyFont="1" applyFill="1" applyBorder="1" applyAlignment="1" applyProtection="1"/>
    <xf numFmtId="170" fontId="16" fillId="0" borderId="5" xfId="1" applyNumberFormat="1" applyFont="1" applyFill="1" applyBorder="1" applyAlignment="1" applyProtection="1"/>
    <xf numFmtId="10" fontId="16" fillId="0" borderId="0" xfId="0" applyNumberFormat="1" applyFont="1" applyProtection="1">
      <protection locked="0"/>
    </xf>
    <xf numFmtId="0" fontId="29" fillId="0" borderId="0" xfId="0" applyFont="1"/>
    <xf numFmtId="10" fontId="14" fillId="0" borderId="0" xfId="0" applyNumberFormat="1" applyFont="1" applyProtection="1">
      <protection locked="0"/>
    </xf>
    <xf numFmtId="0" fontId="14" fillId="0" borderId="29" xfId="0" applyFont="1" applyBorder="1"/>
    <xf numFmtId="0" fontId="51" fillId="0" borderId="0" xfId="0" applyFont="1" applyProtection="1">
      <protection locked="0"/>
    </xf>
    <xf numFmtId="0" fontId="40" fillId="8" borderId="0" xfId="0" applyFont="1" applyFill="1" applyProtection="1">
      <protection locked="0"/>
    </xf>
    <xf numFmtId="170" fontId="16" fillId="8" borderId="0" xfId="1" applyNumberFormat="1" applyFont="1" applyFill="1" applyAlignment="1" applyProtection="1">
      <protection locked="0"/>
    </xf>
    <xf numFmtId="10" fontId="16" fillId="8" borderId="0" xfId="0" applyNumberFormat="1" applyFont="1" applyFill="1" applyProtection="1">
      <protection locked="0"/>
    </xf>
    <xf numFmtId="0" fontId="16" fillId="8" borderId="0" xfId="0" applyFont="1" applyFill="1" applyProtection="1">
      <protection locked="0"/>
    </xf>
    <xf numFmtId="170" fontId="40" fillId="0" borderId="0" xfId="1" applyNumberFormat="1" applyFont="1" applyAlignment="1" applyProtection="1"/>
    <xf numFmtId="170" fontId="40" fillId="0" borderId="0" xfId="1" applyNumberFormat="1" applyFont="1" applyAlignment="1" applyProtection="1">
      <protection locked="0"/>
    </xf>
    <xf numFmtId="170" fontId="36" fillId="0" borderId="0" xfId="1" applyNumberFormat="1" applyFont="1" applyAlignment="1" applyProtection="1">
      <protection locked="0"/>
    </xf>
    <xf numFmtId="170" fontId="36" fillId="0" borderId="0" xfId="1" applyNumberFormat="1" applyFont="1" applyAlignment="1" applyProtection="1"/>
    <xf numFmtId="0" fontId="16" fillId="0" borderId="7" xfId="0" applyFont="1" applyBorder="1" applyProtection="1">
      <protection locked="0"/>
    </xf>
    <xf numFmtId="0" fontId="58" fillId="0" borderId="0" xfId="4" applyFont="1" applyFill="1" applyAlignment="1" applyProtection="1"/>
    <xf numFmtId="0" fontId="0" fillId="0" borderId="0" xfId="0" applyAlignment="1">
      <alignment vertical="center"/>
    </xf>
    <xf numFmtId="41" fontId="16" fillId="22" borderId="5" xfId="1" applyNumberFormat="1" applyFont="1" applyFill="1" applyBorder="1"/>
    <xf numFmtId="0" fontId="40" fillId="3" borderId="0" xfId="0" applyFont="1" applyFill="1" applyProtection="1">
      <protection locked="0"/>
    </xf>
    <xf numFmtId="168" fontId="16" fillId="40" borderId="5" xfId="0" applyNumberFormat="1" applyFont="1" applyFill="1" applyBorder="1" applyAlignment="1" applyProtection="1">
      <alignment horizontal="center"/>
      <protection locked="0"/>
    </xf>
    <xf numFmtId="49" fontId="18" fillId="22" borderId="5" xfId="0" applyNumberFormat="1" applyFont="1" applyFill="1" applyBorder="1"/>
    <xf numFmtId="37" fontId="16" fillId="40" borderId="5" xfId="31" applyNumberFormat="1" applyFont="1" applyFill="1" applyBorder="1" applyAlignment="1" applyProtection="1">
      <alignment horizontal="center"/>
      <protection locked="0"/>
    </xf>
    <xf numFmtId="0" fontId="14" fillId="10" borderId="22" xfId="0" applyFont="1" applyFill="1" applyBorder="1" applyAlignment="1">
      <alignment wrapText="1"/>
    </xf>
    <xf numFmtId="0" fontId="48" fillId="10" borderId="0" xfId="0" applyFont="1" applyFill="1" applyAlignment="1">
      <alignment horizontal="center" wrapText="1" readingOrder="1"/>
    </xf>
    <xf numFmtId="0" fontId="37" fillId="10" borderId="0" xfId="0" applyFont="1" applyFill="1" applyProtection="1">
      <protection locked="0"/>
    </xf>
    <xf numFmtId="0" fontId="37" fillId="0" borderId="0" xfId="0" applyFont="1" applyProtection="1">
      <protection locked="0"/>
    </xf>
    <xf numFmtId="9" fontId="14" fillId="4" borderId="13" xfId="2" applyFont="1" applyFill="1" applyBorder="1"/>
    <xf numFmtId="0" fontId="14" fillId="17" borderId="5" xfId="0" applyFont="1" applyFill="1" applyBorder="1"/>
    <xf numFmtId="41" fontId="16" fillId="17" borderId="5" xfId="1" applyNumberFormat="1" applyFont="1" applyFill="1" applyBorder="1"/>
    <xf numFmtId="41" fontId="14" fillId="17" borderId="5" xfId="1" applyNumberFormat="1" applyFont="1" applyFill="1" applyBorder="1"/>
    <xf numFmtId="0" fontId="36" fillId="0" borderId="29" xfId="0" applyFont="1" applyBorder="1"/>
    <xf numFmtId="0" fontId="14" fillId="0" borderId="13" xfId="0" applyFont="1" applyBorder="1"/>
    <xf numFmtId="6" fontId="14" fillId="0" borderId="13" xfId="0" applyNumberFormat="1" applyFont="1" applyBorder="1"/>
    <xf numFmtId="168" fontId="14" fillId="0" borderId="0" xfId="2" applyNumberFormat="1" applyFont="1"/>
    <xf numFmtId="0" fontId="0" fillId="36" borderId="0" xfId="0" applyFill="1"/>
    <xf numFmtId="0" fontId="58" fillId="10" borderId="0" xfId="4" applyFont="1" applyFill="1"/>
    <xf numFmtId="3" fontId="66" fillId="10" borderId="0" xfId="0" applyNumberFormat="1" applyFont="1" applyFill="1"/>
    <xf numFmtId="170" fontId="36" fillId="10" borderId="0" xfId="1" applyNumberFormat="1" applyFont="1" applyFill="1"/>
    <xf numFmtId="43" fontId="14" fillId="0" borderId="0" xfId="1" applyFont="1" applyFill="1"/>
    <xf numFmtId="0" fontId="54" fillId="0" borderId="0" xfId="0" applyFont="1" applyAlignment="1">
      <alignment horizontal="center" readingOrder="1"/>
    </xf>
    <xf numFmtId="41" fontId="18" fillId="2" borderId="5" xfId="0" applyNumberFormat="1" applyFont="1" applyFill="1" applyBorder="1" applyProtection="1">
      <protection locked="0"/>
    </xf>
    <xf numFmtId="41" fontId="20" fillId="10" borderId="5" xfId="0" applyNumberFormat="1" applyFont="1" applyFill="1" applyBorder="1"/>
    <xf numFmtId="41" fontId="17" fillId="16" borderId="7" xfId="1" applyNumberFormat="1" applyFont="1" applyFill="1" applyBorder="1"/>
    <xf numFmtId="3" fontId="47" fillId="41" borderId="5" xfId="0" applyNumberFormat="1" applyFont="1" applyFill="1" applyBorder="1" applyAlignment="1">
      <alignment horizontal="right" wrapText="1"/>
    </xf>
    <xf numFmtId="0" fontId="47" fillId="41" borderId="5" xfId="0" applyFont="1" applyFill="1" applyBorder="1" applyAlignment="1">
      <alignment horizontal="right" wrapText="1"/>
    </xf>
    <xf numFmtId="3" fontId="47" fillId="41" borderId="17" xfId="0" applyNumberFormat="1" applyFont="1" applyFill="1" applyBorder="1" applyAlignment="1">
      <alignment horizontal="right" wrapText="1"/>
    </xf>
    <xf numFmtId="3" fontId="47" fillId="41" borderId="7" xfId="0" applyNumberFormat="1" applyFont="1" applyFill="1" applyBorder="1" applyAlignment="1">
      <alignment horizontal="right" wrapText="1"/>
    </xf>
    <xf numFmtId="3" fontId="47" fillId="41" borderId="0" xfId="0" applyNumberFormat="1" applyFont="1" applyFill="1" applyAlignment="1">
      <alignment horizontal="right" wrapText="1"/>
    </xf>
    <xf numFmtId="3" fontId="47" fillId="41" borderId="5" xfId="0" applyNumberFormat="1" applyFont="1" applyFill="1" applyBorder="1" applyAlignment="1">
      <alignment horizontal="right" vertical="center" wrapText="1"/>
    </xf>
    <xf numFmtId="0" fontId="47" fillId="41" borderId="5" xfId="0" applyFont="1" applyFill="1" applyBorder="1" applyAlignment="1">
      <alignment horizontal="right" vertical="center" wrapText="1"/>
    </xf>
    <xf numFmtId="0" fontId="47" fillId="41" borderId="17" xfId="0" applyFont="1" applyFill="1" applyBorder="1" applyAlignment="1">
      <alignment horizontal="right" vertical="center" wrapText="1"/>
    </xf>
    <xf numFmtId="3" fontId="47" fillId="41" borderId="17" xfId="0" applyNumberFormat="1" applyFont="1" applyFill="1" applyBorder="1" applyAlignment="1">
      <alignment horizontal="right" vertical="center" wrapText="1"/>
    </xf>
    <xf numFmtId="3" fontId="47" fillId="41" borderId="7" xfId="0" applyNumberFormat="1" applyFont="1" applyFill="1" applyBorder="1" applyAlignment="1">
      <alignment horizontal="right" vertical="center" wrapText="1"/>
    </xf>
    <xf numFmtId="170" fontId="16" fillId="0" borderId="5" xfId="1" applyNumberFormat="1" applyFont="1" applyBorder="1" applyProtection="1">
      <protection locked="0"/>
    </xf>
    <xf numFmtId="10" fontId="14" fillId="10" borderId="0" xfId="2" applyNumberFormat="1" applyFont="1" applyFill="1" applyProtection="1">
      <protection locked="0"/>
    </xf>
    <xf numFmtId="9" fontId="14" fillId="10" borderId="0" xfId="2" applyFont="1" applyFill="1" applyProtection="1">
      <protection locked="0"/>
    </xf>
    <xf numFmtId="41" fontId="14" fillId="17" borderId="5" xfId="0" quotePrefix="1" applyNumberFormat="1" applyFont="1" applyFill="1" applyBorder="1"/>
    <xf numFmtId="14" fontId="14" fillId="3" borderId="0" xfId="0" applyNumberFormat="1" applyFont="1" applyFill="1"/>
    <xf numFmtId="10" fontId="19" fillId="0" borderId="5" xfId="0" applyNumberFormat="1" applyFont="1" applyBorder="1"/>
    <xf numFmtId="168" fontId="40" fillId="22" borderId="5" xfId="0" applyNumberFormat="1" applyFont="1" applyFill="1" applyBorder="1" applyAlignment="1" applyProtection="1">
      <alignment horizontal="center"/>
      <protection locked="0"/>
    </xf>
    <xf numFmtId="43" fontId="14" fillId="0" borderId="0" xfId="0" applyNumberFormat="1" applyFont="1"/>
    <xf numFmtId="0" fontId="14" fillId="8" borderId="0" xfId="0" applyFont="1" applyFill="1"/>
    <xf numFmtId="14" fontId="14" fillId="8" borderId="0" xfId="0" applyNumberFormat="1" applyFont="1" applyFill="1"/>
    <xf numFmtId="43" fontId="14" fillId="8" borderId="0" xfId="0" applyNumberFormat="1" applyFont="1" applyFill="1"/>
    <xf numFmtId="14" fontId="14" fillId="3" borderId="5" xfId="0" applyNumberFormat="1" applyFont="1" applyFill="1" applyBorder="1"/>
    <xf numFmtId="43" fontId="14" fillId="3" borderId="5" xfId="0" applyNumberFormat="1" applyFont="1" applyFill="1" applyBorder="1"/>
    <xf numFmtId="44" fontId="14" fillId="0" borderId="5" xfId="0" applyNumberFormat="1" applyFont="1" applyBorder="1"/>
    <xf numFmtId="176" fontId="14" fillId="0" borderId="5" xfId="0" applyNumberFormat="1" applyFont="1" applyBorder="1"/>
    <xf numFmtId="0" fontId="14" fillId="8" borderId="13" xfId="0" applyFont="1" applyFill="1" applyBorder="1"/>
    <xf numFmtId="14" fontId="14" fillId="8" borderId="13" xfId="0" applyNumberFormat="1" applyFont="1" applyFill="1" applyBorder="1"/>
    <xf numFmtId="43" fontId="14" fillId="8" borderId="13" xfId="0" applyNumberFormat="1" applyFont="1" applyFill="1" applyBorder="1"/>
    <xf numFmtId="176" fontId="14" fillId="8" borderId="0" xfId="0" applyNumberFormat="1" applyFont="1" applyFill="1"/>
    <xf numFmtId="44" fontId="14" fillId="8" borderId="0" xfId="0" applyNumberFormat="1" applyFont="1" applyFill="1"/>
    <xf numFmtId="176" fontId="14" fillId="8" borderId="2" xfId="0" applyNumberFormat="1" applyFont="1" applyFill="1" applyBorder="1"/>
    <xf numFmtId="10" fontId="16" fillId="40" borderId="0" xfId="2" applyNumberFormat="1" applyFont="1" applyFill="1"/>
    <xf numFmtId="10" fontId="16" fillId="3" borderId="0" xfId="2" applyNumberFormat="1" applyFont="1" applyFill="1"/>
    <xf numFmtId="0" fontId="14" fillId="40" borderId="5" xfId="0" applyFont="1" applyFill="1" applyBorder="1"/>
    <xf numFmtId="14" fontId="14" fillId="40" borderId="5" xfId="0" applyNumberFormat="1" applyFont="1" applyFill="1" applyBorder="1"/>
    <xf numFmtId="176" fontId="14" fillId="40" borderId="5" xfId="0" applyNumberFormat="1" applyFont="1" applyFill="1" applyBorder="1"/>
    <xf numFmtId="0" fontId="14" fillId="40" borderId="0" xfId="0" applyFont="1" applyFill="1"/>
    <xf numFmtId="176" fontId="14" fillId="2" borderId="5" xfId="0" applyNumberFormat="1" applyFont="1" applyFill="1" applyBorder="1"/>
    <xf numFmtId="176" fontId="14" fillId="0" borderId="0" xfId="0" applyNumberFormat="1" applyFont="1"/>
    <xf numFmtId="0" fontId="14" fillId="0" borderId="7" xfId="0" applyFont="1" applyBorder="1"/>
    <xf numFmtId="0" fontId="14" fillId="40" borderId="6" xfId="0" applyFont="1" applyFill="1" applyBorder="1"/>
    <xf numFmtId="14" fontId="14" fillId="40" borderId="6" xfId="0" applyNumberFormat="1" applyFont="1" applyFill="1" applyBorder="1"/>
    <xf numFmtId="43" fontId="14" fillId="40" borderId="6" xfId="0" applyNumberFormat="1" applyFont="1" applyFill="1" applyBorder="1"/>
    <xf numFmtId="43" fontId="14" fillId="40" borderId="5" xfId="0" applyNumberFormat="1" applyFont="1" applyFill="1" applyBorder="1"/>
    <xf numFmtId="41" fontId="17" fillId="0" borderId="0" xfId="0" applyNumberFormat="1" applyFont="1" applyAlignment="1">
      <alignment vertical="center"/>
    </xf>
    <xf numFmtId="43" fontId="16" fillId="0" borderId="0" xfId="0" applyNumberFormat="1" applyFont="1" applyProtection="1">
      <protection locked="0"/>
    </xf>
    <xf numFmtId="44" fontId="14" fillId="3" borderId="5" xfId="0" applyNumberFormat="1" applyFont="1" applyFill="1" applyBorder="1"/>
    <xf numFmtId="0" fontId="1" fillId="10" borderId="0" xfId="0" applyFont="1" applyFill="1" applyAlignment="1">
      <alignment vertical="top" wrapText="1"/>
    </xf>
    <xf numFmtId="169" fontId="1" fillId="10" borderId="33" xfId="0" applyNumberFormat="1" applyFont="1" applyFill="1" applyBorder="1" applyAlignment="1">
      <alignment vertical="top" wrapText="1"/>
    </xf>
    <xf numFmtId="0" fontId="1" fillId="10" borderId="5" xfId="0" applyFont="1" applyFill="1" applyBorder="1" applyAlignment="1">
      <alignment vertical="top" wrapText="1"/>
    </xf>
    <xf numFmtId="0" fontId="1" fillId="10" borderId="34" xfId="0" applyFont="1" applyFill="1" applyBorder="1" applyAlignment="1">
      <alignment vertical="top" wrapText="1"/>
    </xf>
    <xf numFmtId="0" fontId="1" fillId="10" borderId="0" xfId="0" applyFont="1" applyFill="1" applyAlignment="1">
      <alignment vertical="top"/>
    </xf>
    <xf numFmtId="169" fontId="1" fillId="10" borderId="35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4" fillId="10" borderId="20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vertical="center" wrapText="1"/>
    </xf>
    <xf numFmtId="0" fontId="17" fillId="23" borderId="18" xfId="0" applyFont="1" applyFill="1" applyBorder="1" applyAlignment="1">
      <alignment horizontal="center" vertical="center" wrapText="1"/>
    </xf>
    <xf numFmtId="0" fontId="17" fillId="23" borderId="19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vertical="center" wrapText="1"/>
    </xf>
    <xf numFmtId="0" fontId="17" fillId="25" borderId="18" xfId="0" applyFont="1" applyFill="1" applyBorder="1" applyAlignment="1">
      <alignment horizontal="center" vertical="center" wrapText="1"/>
    </xf>
    <xf numFmtId="0" fontId="17" fillId="25" borderId="19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vertical="center" wrapText="1"/>
    </xf>
    <xf numFmtId="0" fontId="14" fillId="10" borderId="2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10" borderId="26" xfId="0" applyFill="1" applyBorder="1" applyAlignment="1">
      <alignment vertical="center" wrapText="1"/>
    </xf>
    <xf numFmtId="0" fontId="0" fillId="10" borderId="27" xfId="0" applyFill="1" applyBorder="1" applyAlignment="1">
      <alignment vertical="center" wrapText="1"/>
    </xf>
    <xf numFmtId="0" fontId="14" fillId="10" borderId="27" xfId="0" applyFont="1" applyFill="1" applyBorder="1" applyAlignment="1">
      <alignment vertical="center" wrapText="1"/>
    </xf>
    <xf numFmtId="0" fontId="65" fillId="26" borderId="25" xfId="0" applyFont="1" applyFill="1" applyBorder="1" applyAlignment="1">
      <alignment horizontal="center" vertical="center" wrapText="1"/>
    </xf>
    <xf numFmtId="0" fontId="65" fillId="26" borderId="30" xfId="0" applyFont="1" applyFill="1" applyBorder="1" applyAlignment="1">
      <alignment horizontal="center" vertical="center" wrapText="1"/>
    </xf>
    <xf numFmtId="0" fontId="65" fillId="26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2" fillId="36" borderId="2" xfId="0" applyFont="1" applyFill="1" applyBorder="1" applyAlignment="1">
      <alignment horizontal="left"/>
    </xf>
    <xf numFmtId="0" fontId="14" fillId="10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4" fillId="10" borderId="0" xfId="0" applyFont="1" applyFill="1" applyAlignment="1">
      <alignment vertical="center"/>
    </xf>
    <xf numFmtId="0" fontId="18" fillId="19" borderId="5" xfId="0" applyFont="1" applyFill="1" applyBorder="1" applyAlignment="1">
      <alignment wrapText="1"/>
    </xf>
    <xf numFmtId="0" fontId="18" fillId="19" borderId="3" xfId="0" applyFont="1" applyFill="1" applyBorder="1" applyAlignment="1">
      <alignment wrapText="1"/>
    </xf>
    <xf numFmtId="43" fontId="18" fillId="4" borderId="5" xfId="1" applyFont="1" applyFill="1" applyBorder="1" applyAlignment="1">
      <alignment horizontal="left"/>
    </xf>
    <xf numFmtId="170" fontId="36" fillId="0" borderId="0" xfId="1" applyNumberFormat="1" applyFont="1" applyBorder="1" applyAlignment="1" applyProtection="1">
      <alignment wrapText="1"/>
    </xf>
    <xf numFmtId="170" fontId="58" fillId="0" borderId="0" xfId="4" applyNumberFormat="1" applyFont="1" applyAlignment="1" applyProtection="1">
      <protection locked="0"/>
    </xf>
    <xf numFmtId="0" fontId="36" fillId="0" borderId="0" xfId="0" applyFont="1" applyAlignment="1">
      <alignment wrapText="1"/>
    </xf>
    <xf numFmtId="0" fontId="17" fillId="17" borderId="1" xfId="0" applyFont="1" applyFill="1" applyBorder="1" applyAlignment="1">
      <alignment horizontal="center"/>
    </xf>
    <xf numFmtId="0" fontId="55" fillId="21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70" fontId="40" fillId="0" borderId="0" xfId="1" applyNumberFormat="1" applyFont="1" applyBorder="1" applyAlignment="1" applyProtection="1">
      <alignment vertical="top"/>
      <protection locked="0"/>
    </xf>
    <xf numFmtId="0" fontId="0" fillId="0" borderId="2" xfId="0" applyBorder="1" applyAlignment="1"/>
    <xf numFmtId="0" fontId="14" fillId="0" borderId="0" xfId="0" applyFont="1" applyAlignment="1"/>
    <xf numFmtId="0" fontId="0" fillId="0" borderId="0" xfId="0" applyAlignment="1"/>
    <xf numFmtId="49" fontId="16" fillId="0" borderId="0" xfId="0" applyNumberFormat="1" applyFont="1" applyAlignment="1"/>
    <xf numFmtId="0" fontId="17" fillId="0" borderId="0" xfId="0" applyFont="1" applyAlignment="1"/>
    <xf numFmtId="0" fontId="55" fillId="21" borderId="0" xfId="0" applyFont="1" applyFill="1" applyAlignment="1"/>
    <xf numFmtId="0" fontId="14" fillId="0" borderId="1" xfId="0" applyFont="1" applyBorder="1" applyAlignment="1"/>
    <xf numFmtId="0" fontId="36" fillId="0" borderId="0" xfId="0" applyFont="1" applyAlignment="1"/>
  </cellXfs>
  <cellStyles count="59">
    <cellStyle name="Comma" xfId="1" builtinId="3"/>
    <cellStyle name="Comma [0] 2" xfId="7" xr:uid="{00000000-0005-0000-0000-000001000000}"/>
    <cellStyle name="Comma 10" xfId="24" xr:uid="{00000000-0005-0000-0000-000002000000}"/>
    <cellStyle name="Comma 10 2" xfId="40" xr:uid="{00000000-0005-0000-0000-000003000000}"/>
    <cellStyle name="Comma 11" xfId="28" xr:uid="{00000000-0005-0000-0000-000004000000}"/>
    <cellStyle name="Comma 12" xfId="29" xr:uid="{00000000-0005-0000-0000-000005000000}"/>
    <cellStyle name="Comma 13" xfId="30" xr:uid="{00000000-0005-0000-0000-000006000000}"/>
    <cellStyle name="Comma 14" xfId="43" xr:uid="{4A93679A-A169-4209-A025-F11A33EB0E56}"/>
    <cellStyle name="Comma 15" xfId="46" xr:uid="{3F675EE1-C1E3-45BF-AEA1-233141F6B40C}"/>
    <cellStyle name="Comma 16" xfId="45" xr:uid="{7271A91E-C2A0-4533-B3AE-0012F425AEFE}"/>
    <cellStyle name="Comma 17" xfId="47" xr:uid="{E9F510EE-5E2A-4534-875C-0F3D40A559A5}"/>
    <cellStyle name="Comma 18" xfId="48" xr:uid="{F67FE796-D108-44A6-A607-1F24AFF921FA}"/>
    <cellStyle name="Comma 19" xfId="49" xr:uid="{3797E6EF-43E8-46DB-981E-6FD7A1BF097A}"/>
    <cellStyle name="Comma 2" xfId="6" xr:uid="{00000000-0005-0000-0000-000007000000}"/>
    <cellStyle name="Comma 2 2" xfId="32" xr:uid="{00000000-0005-0000-0000-000008000000}"/>
    <cellStyle name="Comma 20" xfId="50" xr:uid="{08B53AFC-1CE7-493A-86CF-2693306D9083}"/>
    <cellStyle name="Comma 21" xfId="51" xr:uid="{F1886341-B07A-4305-A346-E3CCDBAFD57D}"/>
    <cellStyle name="Comma 22" xfId="52" xr:uid="{94DC4C4A-2C65-492D-AF38-58E6ECD7D869}"/>
    <cellStyle name="Comma 23" xfId="53" xr:uid="{FFF66EF7-E05D-409A-AE02-824836939810}"/>
    <cellStyle name="Comma 24" xfId="54" xr:uid="{7620F643-8BC4-4A09-99A0-85CFF8AC4305}"/>
    <cellStyle name="Comma 3" xfId="13" xr:uid="{00000000-0005-0000-0000-000009000000}"/>
    <cellStyle name="Comma 4" xfId="18" xr:uid="{00000000-0005-0000-0000-00000A000000}"/>
    <cellStyle name="Comma 5" xfId="17" xr:uid="{00000000-0005-0000-0000-00000B000000}"/>
    <cellStyle name="Comma 6" xfId="20" xr:uid="{00000000-0005-0000-0000-00000C000000}"/>
    <cellStyle name="Comma 7" xfId="23" xr:uid="{00000000-0005-0000-0000-00000D000000}"/>
    <cellStyle name="Comma 8" xfId="25" xr:uid="{00000000-0005-0000-0000-00000E000000}"/>
    <cellStyle name="Comma 9" xfId="27" xr:uid="{00000000-0005-0000-0000-00000F000000}"/>
    <cellStyle name="Currency" xfId="31" builtinId="4"/>
    <cellStyle name="Currency 2" xfId="8" xr:uid="{00000000-0005-0000-0000-000011000000}"/>
    <cellStyle name="Currency 2 2" xfId="35" xr:uid="{00000000-0005-0000-0000-000012000000}"/>
    <cellStyle name="Currency 3" xfId="58" xr:uid="{42A4AC66-F6BE-43AA-9B3A-9970AB0A9B78}"/>
    <cellStyle name="Currency 3 2" xfId="36" xr:uid="{00000000-0005-0000-0000-000013000000}"/>
    <cellStyle name="Currency 4 2" xfId="37" xr:uid="{00000000-0005-0000-0000-000014000000}"/>
    <cellStyle name="Currency 5" xfId="38" xr:uid="{00000000-0005-0000-0000-000015000000}"/>
    <cellStyle name="Currency 6" xfId="39" xr:uid="{00000000-0005-0000-0000-000016000000}"/>
    <cellStyle name="Hyperlink" xfId="4" builtinId="8"/>
    <cellStyle name="Hyperlink 2" xfId="10" xr:uid="{00000000-0005-0000-0000-000018000000}"/>
    <cellStyle name="Hyperlink 3" xfId="9" xr:uid="{00000000-0005-0000-0000-000019000000}"/>
    <cellStyle name="Normal" xfId="0" builtinId="0"/>
    <cellStyle name="Normal 10" xfId="26" xr:uid="{00000000-0005-0000-0000-00001B000000}"/>
    <cellStyle name="Normal 11" xfId="41" xr:uid="{09524E0A-6195-414C-AA5A-F6D79D8CBF48}"/>
    <cellStyle name="Normal 12" xfId="42" xr:uid="{85B4C810-4E2A-48CF-9528-81D5AED1DA0F}"/>
    <cellStyle name="Normal 13" xfId="55" xr:uid="{3ABB63F3-7BAF-4083-A6E1-9E3E44BB59A9}"/>
    <cellStyle name="Normal 14" xfId="56" xr:uid="{F129FA16-BCD8-4FE5-B3CC-F2F335D8F416}"/>
    <cellStyle name="Normal 15" xfId="57" xr:uid="{1F07396A-0484-4CD6-9DCB-8D3FD7C7530E}"/>
    <cellStyle name="Normal 2" xfId="3" xr:uid="{00000000-0005-0000-0000-00001C000000}"/>
    <cellStyle name="Normal 2 2" xfId="33" xr:uid="{00000000-0005-0000-0000-00001D000000}"/>
    <cellStyle name="Normal 3" xfId="5" xr:uid="{00000000-0005-0000-0000-00001E000000}"/>
    <cellStyle name="Normal 4" xfId="12" xr:uid="{00000000-0005-0000-0000-00001F000000}"/>
    <cellStyle name="Normal 4 2" xfId="16" xr:uid="{00000000-0005-0000-0000-000020000000}"/>
    <cellStyle name="Normal 5" xfId="15" xr:uid="{00000000-0005-0000-0000-000021000000}"/>
    <cellStyle name="Normal 6" xfId="19" xr:uid="{00000000-0005-0000-0000-000022000000}"/>
    <cellStyle name="Normal 7" xfId="14" xr:uid="{00000000-0005-0000-0000-000023000000}"/>
    <cellStyle name="Normal 8" xfId="21" xr:uid="{00000000-0005-0000-0000-000024000000}"/>
    <cellStyle name="Normal 9" xfId="22" xr:uid="{00000000-0005-0000-0000-000025000000}"/>
    <cellStyle name="Percent" xfId="2" builtinId="5"/>
    <cellStyle name="Percent 2" xfId="11" xr:uid="{00000000-0005-0000-0000-000027000000}"/>
    <cellStyle name="Percent 3" xfId="34" xr:uid="{00000000-0005-0000-0000-000028000000}"/>
    <cellStyle name="Percent 4" xfId="44" xr:uid="{8E419E79-949F-4679-A208-AAE6BA75EB5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A793BF"/>
      <color rgb="FFDEE7F2"/>
      <color rgb="FFFBA905"/>
      <color rgb="FFF5910B"/>
      <color rgb="FFFFCCFF"/>
      <color rgb="FFFF99FF"/>
      <color rgb="FFFF66FF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8381452318461"/>
          <c:y val="5.0925925925925923E-2"/>
          <c:w val="0.84396062992125986"/>
          <c:h val="0.79537839020122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NSS!$B$17</c:f>
              <c:strCache>
                <c:ptCount val="1"/>
                <c:pt idx="0">
                  <c:v>Required District Contribution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NSS!$M$17:$U$17</c:f>
              <c:numCache>
                <c:formatCode>_(* #,##0_);_(* \(#,##0\);_(* "-"_);_(@_)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1-4879-AA02-A9D338EF88A7}"/>
            </c:ext>
          </c:extLst>
        </c:ser>
        <c:ser>
          <c:idx val="1"/>
          <c:order val="1"/>
          <c:tx>
            <c:strRef>
              <c:f>NSS!$B$28</c:f>
              <c:strCache>
                <c:ptCount val="1"/>
                <c:pt idx="0">
                  <c:v>Chapter 70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NSS!$M$28:$U$28</c:f>
              <c:numCache>
                <c:formatCode>_(* #,##0_);_(* \(#,##0\);_(* "-"_);_(@_)</c:formatCode>
                <c:ptCount val="9"/>
                <c:pt idx="0">
                  <c:v>3856463</c:v>
                </c:pt>
                <c:pt idx="1">
                  <c:v>3856463</c:v>
                </c:pt>
                <c:pt idx="2">
                  <c:v>3856463</c:v>
                </c:pt>
                <c:pt idx="3">
                  <c:v>3856463</c:v>
                </c:pt>
                <c:pt idx="4">
                  <c:v>3856463</c:v>
                </c:pt>
                <c:pt idx="5">
                  <c:v>3856463</c:v>
                </c:pt>
                <c:pt idx="6">
                  <c:v>3856463</c:v>
                </c:pt>
                <c:pt idx="7">
                  <c:v>3856463</c:v>
                </c:pt>
                <c:pt idx="8">
                  <c:v>3856463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1-4879-AA02-A9D338EF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1171386552"/>
        <c:axId val="1171386880"/>
      </c:barChart>
      <c:lineChart>
        <c:grouping val="standard"/>
        <c:varyColors val="0"/>
        <c:ser>
          <c:idx val="2"/>
          <c:order val="2"/>
          <c:tx>
            <c:strRef>
              <c:f>NSS!$B$35</c:f>
              <c:strCache>
                <c:ptCount val="1"/>
                <c:pt idx="0">
                  <c:v>School Committee Budgeted NSS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NSS!$M$35:$U$35</c:f>
              <c:numCache>
                <c:formatCode>_(* #,##0_);_(* \(#,##0\);_(* "-"_);_(@_)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1-4879-AA02-A9D338EF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86552"/>
        <c:axId val="1171386880"/>
      </c:lineChart>
      <c:catAx>
        <c:axId val="117138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386880"/>
        <c:crosses val="autoZero"/>
        <c:auto val="1"/>
        <c:lblAlgn val="ctr"/>
        <c:lblOffset val="100"/>
        <c:noMultiLvlLbl val="0"/>
      </c:catAx>
      <c:valAx>
        <c:axId val="1171386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386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40277777777777779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60378214487678E-2"/>
          <c:y val="0.9182068387284924"/>
          <c:w val="0.9380393422301172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1'!$D$33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5-4FFB-B2AD-664C844C94C7}"/>
            </c:ext>
          </c:extLst>
        </c:ser>
        <c:ser>
          <c:idx val="1"/>
          <c:order val="1"/>
          <c:tx>
            <c:strRef>
              <c:f>'__ RSD 1'!$E$33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5-4FFB-B2AD-664C844C94C7}"/>
            </c:ext>
          </c:extLst>
        </c:ser>
        <c:ser>
          <c:idx val="2"/>
          <c:order val="2"/>
          <c:tx>
            <c:strRef>
              <c:f>'__ RSD 1'!$F$33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5-4FFB-B2AD-664C844C94C7}"/>
            </c:ext>
          </c:extLst>
        </c:ser>
        <c:ser>
          <c:idx val="3"/>
          <c:order val="3"/>
          <c:tx>
            <c:strRef>
              <c:f>'__ RSD 1'!$G$33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5-4FFB-B2AD-664C844C94C7}"/>
            </c:ext>
          </c:extLst>
        </c:ser>
        <c:ser>
          <c:idx val="4"/>
          <c:order val="4"/>
          <c:tx>
            <c:strRef>
              <c:f>'__ RSD 1'!$H$33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5-4FFB-B2AD-664C844C94C7}"/>
            </c:ext>
          </c:extLst>
        </c:ser>
        <c:ser>
          <c:idx val="5"/>
          <c:order val="5"/>
          <c:tx>
            <c:strRef>
              <c:f>'__ RSD 1'!$I$33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1-4FDC-915C-62F18087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2'!$D$33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D-4054-93A8-A75C74707E75}"/>
            </c:ext>
          </c:extLst>
        </c:ser>
        <c:ser>
          <c:idx val="1"/>
          <c:order val="1"/>
          <c:tx>
            <c:strRef>
              <c:f>'__ RSD 2'!$E$33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D-4054-93A8-A75C74707E75}"/>
            </c:ext>
          </c:extLst>
        </c:ser>
        <c:ser>
          <c:idx val="2"/>
          <c:order val="2"/>
          <c:tx>
            <c:strRef>
              <c:f>'__ RSD 2'!$F$33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D-4054-93A8-A75C74707E75}"/>
            </c:ext>
          </c:extLst>
        </c:ser>
        <c:ser>
          <c:idx val="3"/>
          <c:order val="3"/>
          <c:tx>
            <c:strRef>
              <c:f>'__ RSD 2'!$G$33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D-4054-93A8-A75C74707E75}"/>
            </c:ext>
          </c:extLst>
        </c:ser>
        <c:ser>
          <c:idx val="4"/>
          <c:order val="4"/>
          <c:tx>
            <c:strRef>
              <c:f>'__ RSD 2'!$H$33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D-4054-93A8-A75C74707E75}"/>
            </c:ext>
          </c:extLst>
        </c:ser>
        <c:ser>
          <c:idx val="5"/>
          <c:order val="5"/>
          <c:tx>
            <c:strRef>
              <c:f>'__ RSD 2'!$I$33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3D-4054-93A8-A75C7470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3'!$D$33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5-484E-AF8D-E7F272D911E5}"/>
            </c:ext>
          </c:extLst>
        </c:ser>
        <c:ser>
          <c:idx val="1"/>
          <c:order val="1"/>
          <c:tx>
            <c:strRef>
              <c:f>'__ RSD 3'!$E$33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5-484E-AF8D-E7F272D911E5}"/>
            </c:ext>
          </c:extLst>
        </c:ser>
        <c:ser>
          <c:idx val="2"/>
          <c:order val="2"/>
          <c:tx>
            <c:strRef>
              <c:f>'__ RSD 3'!$F$33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5-484E-AF8D-E7F272D911E5}"/>
            </c:ext>
          </c:extLst>
        </c:ser>
        <c:ser>
          <c:idx val="3"/>
          <c:order val="3"/>
          <c:tx>
            <c:strRef>
              <c:f>'__ RSD 3'!$G$33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5-484E-AF8D-E7F272D911E5}"/>
            </c:ext>
          </c:extLst>
        </c:ser>
        <c:ser>
          <c:idx val="4"/>
          <c:order val="4"/>
          <c:tx>
            <c:strRef>
              <c:f>'__ RSD 3'!$H$33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45-484E-AF8D-E7F272D911E5}"/>
            </c:ext>
          </c:extLst>
        </c:ser>
        <c:ser>
          <c:idx val="5"/>
          <c:order val="5"/>
          <c:tx>
            <c:strRef>
              <c:f>'__ RSD 3'!$I$33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45-484E-AF8D-E7F272D91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latin typeface="+mn-lt"/>
                <a:cs typeface="Arial" panose="020B0604020202020204" pitchFamily="34" charset="0"/>
              </a:defRPr>
            </a:pPr>
            <a:r>
              <a:rPr lang="en-US" sz="1050" b="0">
                <a:latin typeface="+mn-lt"/>
                <a:cs typeface="Arial" panose="020B0604020202020204" pitchFamily="34" charset="0"/>
              </a:rPr>
              <a:t>School Choice Sending &amp; Charter School</a:t>
            </a:r>
          </a:p>
          <a:p>
            <a:pPr>
              <a:defRPr sz="1050" b="0">
                <a:latin typeface="+mn-lt"/>
                <a:cs typeface="Arial" panose="020B0604020202020204" pitchFamily="34" charset="0"/>
              </a:defRPr>
            </a:pPr>
            <a:r>
              <a:rPr lang="en-US" sz="1050" b="0">
                <a:latin typeface="+mn-lt"/>
                <a:cs typeface="Arial" panose="020B0604020202020204" pitchFamily="34" charset="0"/>
              </a:rPr>
              <a:t>Enrollment and Tuition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21050164088139"/>
          <c:y val="0.14020821154542307"/>
          <c:w val="0.82635972994976969"/>
          <c:h val="0.6826129498010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'Choice &amp; Charter'!$B$8</c:f>
              <c:strCache>
                <c:ptCount val="1"/>
                <c:pt idx="0">
                  <c:v> School Choice Sending Tuition Assessment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'Choice &amp; Charter'!$M$4:$V$4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'Choice &amp; Charter'!$M$8:$V$8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F-4876-9CBC-A8DBCC78F6E5}"/>
            </c:ext>
          </c:extLst>
        </c:ser>
        <c:ser>
          <c:idx val="1"/>
          <c:order val="1"/>
          <c:tx>
            <c:strRef>
              <c:f>'Choice &amp; Charter'!$B$11</c:f>
              <c:strCache>
                <c:ptCount val="1"/>
                <c:pt idx="0">
                  <c:v> Charter School Tuition Cost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'Choice &amp; Charter'!$M$4:$V$4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'Choice &amp; Charter'!$M$11:$V$11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F-4876-9CBC-A8DBCC78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62336"/>
        <c:axId val="59664640"/>
      </c:barChart>
      <c:lineChart>
        <c:grouping val="standard"/>
        <c:varyColors val="0"/>
        <c:ser>
          <c:idx val="2"/>
          <c:order val="2"/>
          <c:tx>
            <c:strRef>
              <c:f>'Choice &amp; Charter'!$B$7</c:f>
              <c:strCache>
                <c:ptCount val="1"/>
                <c:pt idx="0">
                  <c:v> School Choice Sending Enrollment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4"/>
            <c:spPr>
              <a:solidFill>
                <a:schemeClr val="tx2"/>
              </a:solidFill>
            </c:spPr>
          </c:marker>
          <c:cat>
            <c:strRef>
              <c:f>'Choice &amp; Charter'!$M$4:$U$4</c:f>
              <c:strCache>
                <c:ptCount val="9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</c:strCache>
            </c:strRef>
          </c:cat>
          <c:val>
            <c:numRef>
              <c:f>'Choice &amp; Charter'!$M$7:$V$7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F-4876-9CBC-A8DBCC78F6E5}"/>
            </c:ext>
          </c:extLst>
        </c:ser>
        <c:ser>
          <c:idx val="3"/>
          <c:order val="3"/>
          <c:tx>
            <c:strRef>
              <c:f>'Choice &amp; Charter'!$B$10</c:f>
              <c:strCache>
                <c:ptCount val="1"/>
                <c:pt idx="0">
                  <c:v> Charter School Enrollment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'Choice &amp; Charter'!$M$4:$U$4</c:f>
              <c:strCache>
                <c:ptCount val="9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</c:strCache>
            </c:strRef>
          </c:cat>
          <c:val>
            <c:numRef>
              <c:f>'Choice &amp; Charter'!$M$10:$V$10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EF-4876-9CBC-A8DBCC78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68736"/>
        <c:axId val="59666816"/>
      </c:lineChart>
      <c:catAx>
        <c:axId val="5966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Fiscal Years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4640"/>
        <c:crosses val="autoZero"/>
        <c:auto val="1"/>
        <c:lblAlgn val="ctr"/>
        <c:lblOffset val="100"/>
        <c:noMultiLvlLbl val="0"/>
      </c:catAx>
      <c:valAx>
        <c:axId val="59664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Dollars</a:t>
                </a:r>
              </a:p>
            </c:rich>
          </c:tx>
          <c:layout>
            <c:manualLayout>
              <c:xMode val="edge"/>
              <c:yMode val="edge"/>
              <c:x val="6.5181801882827368E-3"/>
              <c:y val="0.43668414746844036"/>
            </c:manualLayout>
          </c:layout>
          <c:overlay val="0"/>
        </c:title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2336"/>
        <c:crosses val="autoZero"/>
        <c:crossBetween val="between"/>
      </c:valAx>
      <c:valAx>
        <c:axId val="59666816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Students (FTE)</a:t>
                </a:r>
              </a:p>
            </c:rich>
          </c:tx>
          <c:layout>
            <c:manualLayout>
              <c:xMode val="edge"/>
              <c:yMode val="edge"/>
              <c:x val="0.96955527535541819"/>
              <c:y val="0.398965761384121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8736"/>
        <c:crosses val="max"/>
        <c:crossBetween val="between"/>
      </c:valAx>
      <c:catAx>
        <c:axId val="5966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668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615324983111288"/>
          <c:y val="0.91172346864918652"/>
          <c:w val="0.88551355754188732"/>
          <c:h val="7.2549475484890408E-2"/>
        </c:manualLayout>
      </c:layout>
      <c:overlay val="0"/>
      <c:txPr>
        <a:bodyPr/>
        <a:lstStyle/>
        <a:p>
          <a:pPr>
            <a:defRPr sz="9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85725</xdr:rowOff>
    </xdr:from>
    <xdr:to>
      <xdr:col>0</xdr:col>
      <xdr:colOff>180975</xdr:colOff>
      <xdr:row>6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742B334-1771-4B1D-9DBA-34A7378FE5E6}"/>
            </a:ext>
          </a:extLst>
        </xdr:cNvPr>
        <xdr:cNvCxnSpPr/>
      </xdr:nvCxnSpPr>
      <xdr:spPr>
        <a:xfrm>
          <a:off x="38100" y="11525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7</xdr:row>
      <xdr:rowOff>95250</xdr:rowOff>
    </xdr:from>
    <xdr:to>
      <xdr:col>0</xdr:col>
      <xdr:colOff>180975</xdr:colOff>
      <xdr:row>7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8E919B8-5DD1-4E12-8AD0-77AC124C3326}"/>
            </a:ext>
          </a:extLst>
        </xdr:cNvPr>
        <xdr:cNvCxnSpPr/>
      </xdr:nvCxnSpPr>
      <xdr:spPr>
        <a:xfrm>
          <a:off x="38100" y="13144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8</xdr:row>
      <xdr:rowOff>95250</xdr:rowOff>
    </xdr:from>
    <xdr:to>
      <xdr:col>0</xdr:col>
      <xdr:colOff>180975</xdr:colOff>
      <xdr:row>8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7D72483-F2CF-456B-99F6-8E93B7546A4E}"/>
            </a:ext>
          </a:extLst>
        </xdr:cNvPr>
        <xdr:cNvCxnSpPr/>
      </xdr:nvCxnSpPr>
      <xdr:spPr>
        <a:xfrm>
          <a:off x="38100" y="14668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9</xdr:row>
      <xdr:rowOff>85725</xdr:rowOff>
    </xdr:from>
    <xdr:to>
      <xdr:col>0</xdr:col>
      <xdr:colOff>171450</xdr:colOff>
      <xdr:row>9</xdr:row>
      <xdr:rowOff>85725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6DBECFC-E650-4E0C-9F2C-166EDECECC62}"/>
            </a:ext>
          </a:extLst>
        </xdr:cNvPr>
        <xdr:cNvCxnSpPr/>
      </xdr:nvCxnSpPr>
      <xdr:spPr>
        <a:xfrm>
          <a:off x="28575" y="16097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10</xdr:row>
      <xdr:rowOff>76200</xdr:rowOff>
    </xdr:from>
    <xdr:to>
      <xdr:col>0</xdr:col>
      <xdr:colOff>180975</xdr:colOff>
      <xdr:row>10</xdr:row>
      <xdr:rowOff>76200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B53E8AC-8A50-48CD-A671-4E18BCD05EB6}"/>
            </a:ext>
          </a:extLst>
        </xdr:cNvPr>
        <xdr:cNvCxnSpPr/>
      </xdr:nvCxnSpPr>
      <xdr:spPr>
        <a:xfrm>
          <a:off x="38100" y="17526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11</xdr:row>
      <xdr:rowOff>95250</xdr:rowOff>
    </xdr:from>
    <xdr:to>
      <xdr:col>0</xdr:col>
      <xdr:colOff>180975</xdr:colOff>
      <xdr:row>11</xdr:row>
      <xdr:rowOff>95250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9DB4B68-10D0-4C3E-956E-C51CAEB279E5}"/>
            </a:ext>
          </a:extLst>
        </xdr:cNvPr>
        <xdr:cNvCxnSpPr/>
      </xdr:nvCxnSpPr>
      <xdr:spPr>
        <a:xfrm>
          <a:off x="38100" y="19240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12</xdr:row>
      <xdr:rowOff>76200</xdr:rowOff>
    </xdr:from>
    <xdr:to>
      <xdr:col>0</xdr:col>
      <xdr:colOff>180975</xdr:colOff>
      <xdr:row>12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7B00D9A-A051-4838-AE5C-1EEF6E35FBC0}"/>
            </a:ext>
          </a:extLst>
        </xdr:cNvPr>
        <xdr:cNvCxnSpPr/>
      </xdr:nvCxnSpPr>
      <xdr:spPr>
        <a:xfrm>
          <a:off x="38100" y="20574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29</xdr:row>
      <xdr:rowOff>85725</xdr:rowOff>
    </xdr:from>
    <xdr:to>
      <xdr:col>0</xdr:col>
      <xdr:colOff>180975</xdr:colOff>
      <xdr:row>29</xdr:row>
      <xdr:rowOff>85725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8FEDF3E-88DA-461A-866F-879537152FFD}"/>
            </a:ext>
          </a:extLst>
        </xdr:cNvPr>
        <xdr:cNvCxnSpPr/>
      </xdr:nvCxnSpPr>
      <xdr:spPr>
        <a:xfrm>
          <a:off x="38100" y="45053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30</xdr:row>
      <xdr:rowOff>76200</xdr:rowOff>
    </xdr:from>
    <xdr:to>
      <xdr:col>0</xdr:col>
      <xdr:colOff>180975</xdr:colOff>
      <xdr:row>30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31E1B71-786D-4F9E-8DD0-C5D79867DA74}"/>
            </a:ext>
          </a:extLst>
        </xdr:cNvPr>
        <xdr:cNvCxnSpPr/>
      </xdr:nvCxnSpPr>
      <xdr:spPr>
        <a:xfrm>
          <a:off x="38100" y="46482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31</xdr:row>
      <xdr:rowOff>66675</xdr:rowOff>
    </xdr:from>
    <xdr:to>
      <xdr:col>0</xdr:col>
      <xdr:colOff>180975</xdr:colOff>
      <xdr:row>31</xdr:row>
      <xdr:rowOff>66675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C8305C7D-8A86-482D-9805-0C5771035A2B}"/>
            </a:ext>
          </a:extLst>
        </xdr:cNvPr>
        <xdr:cNvCxnSpPr/>
      </xdr:nvCxnSpPr>
      <xdr:spPr>
        <a:xfrm>
          <a:off x="38100" y="479107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32</xdr:row>
      <xdr:rowOff>66675</xdr:rowOff>
    </xdr:from>
    <xdr:to>
      <xdr:col>1</xdr:col>
      <xdr:colOff>0</xdr:colOff>
      <xdr:row>32</xdr:row>
      <xdr:rowOff>66675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A352BF55-FDB4-486C-8A68-39A3849CF994}"/>
            </a:ext>
          </a:extLst>
        </xdr:cNvPr>
        <xdr:cNvCxnSpPr/>
      </xdr:nvCxnSpPr>
      <xdr:spPr>
        <a:xfrm>
          <a:off x="47625" y="494347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72</xdr:row>
      <xdr:rowOff>76200</xdr:rowOff>
    </xdr:from>
    <xdr:to>
      <xdr:col>1</xdr:col>
      <xdr:colOff>9525</xdr:colOff>
      <xdr:row>72</xdr:row>
      <xdr:rowOff>76200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AABB9FD-AE51-4BF0-A19B-D348EB53B742}"/>
            </a:ext>
          </a:extLst>
        </xdr:cNvPr>
        <xdr:cNvCxnSpPr/>
      </xdr:nvCxnSpPr>
      <xdr:spPr>
        <a:xfrm>
          <a:off x="57150" y="109347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115194</xdr:colOff>
      <xdr:row>37</xdr:row>
      <xdr:rowOff>55929</xdr:rowOff>
    </xdr:from>
    <xdr:to>
      <xdr:col>25</xdr:col>
      <xdr:colOff>249520</xdr:colOff>
      <xdr:row>56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ACA8A3-0C75-439C-B5D2-9F1053ECE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3E4E1-B5D8-4E62-B398-2AFC0FB71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32ED09-3A5A-4A82-AFE6-3B42D2F22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7621</xdr:colOff>
      <xdr:row>12</xdr:row>
      <xdr:rowOff>33867</xdr:rowOff>
    </xdr:from>
    <xdr:to>
      <xdr:col>19</xdr:col>
      <xdr:colOff>361950</xdr:colOff>
      <xdr:row>43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FBC75-8A7D-4FA4-8EB4-3B99DB798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livast\Downloads\choice_tuition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doe.mass.edu/finance/chapter70/compliance.html" TargetMode="External"/><Relationship Id="rId1" Type="http://schemas.openxmlformats.org/officeDocument/2006/relationships/hyperlink" Target="http://www.doe.mass.edu/finance/chapter7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doe.mass.edu/finance/chapter7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doe.mass.edu/finance/chapter70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doe.mass.edu/finance/chapter70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e.mass.edu/finance/schoolchoice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://www.doe.mass.edu/charter/finance/tuition/" TargetMode="External"/><Relationship Id="rId1" Type="http://schemas.openxmlformats.org/officeDocument/2006/relationships/hyperlink" Target="http://www.doe.mass.edu/charter/finance/tuition/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http://www.doe.mass.edu/finance/schoolchoice/" TargetMode="External"/><Relationship Id="rId4" Type="http://schemas.openxmlformats.org/officeDocument/2006/relationships/hyperlink" Target="http://www.doe.mass.edu/finance/schoolchoic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collections/Historical-Cherry-Sheet-Spreadsheets-FY1981-to-FY2009" TargetMode="External"/><Relationship Id="rId2" Type="http://schemas.openxmlformats.org/officeDocument/2006/relationships/hyperlink" Target="https://dlsgateway.dor.state.ma.us/reports/rdPage.aspx?rdReport=CherrySheets.CSbyProgMunis.cs_prog_munis" TargetMode="External"/><Relationship Id="rId1" Type="http://schemas.openxmlformats.org/officeDocument/2006/relationships/hyperlink" Target="https://dlsgateway.dor.state.ma.us/reports/rdPage.aspx?rdReport=CherrySheets.CSbyProgMunis.MuniBudgEst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D54"/>
  <sheetViews>
    <sheetView zoomScaleNormal="100" workbookViewId="0">
      <selection activeCell="B3" sqref="B3"/>
    </sheetView>
  </sheetViews>
  <sheetFormatPr defaultColWidth="8.75" defaultRowHeight="12"/>
  <cols>
    <col min="1" max="1" width="12.75" style="653" customWidth="1"/>
    <col min="2" max="2" width="74.875" style="653" customWidth="1"/>
    <col min="3" max="3" width="8.75" style="653"/>
    <col min="4" max="4" width="34.625" style="653" bestFit="1" customWidth="1"/>
    <col min="5" max="16384" width="8.75" style="653"/>
  </cols>
  <sheetData>
    <row r="1" spans="1:4" ht="12.75" thickBot="1">
      <c r="A1" s="1013" t="s">
        <v>0</v>
      </c>
      <c r="B1" s="1014"/>
    </row>
    <row r="2" spans="1:4" ht="48">
      <c r="A2" s="1011" t="s">
        <v>1</v>
      </c>
      <c r="B2" s="654" t="s">
        <v>2</v>
      </c>
      <c r="D2" s="655" t="s">
        <v>3</v>
      </c>
    </row>
    <row r="3" spans="1:4" ht="12.75" thickBot="1">
      <c r="A3" s="1015"/>
      <c r="B3" s="656" t="s">
        <v>4</v>
      </c>
    </row>
    <row r="4" spans="1:4">
      <c r="A4" s="1011" t="s">
        <v>5</v>
      </c>
      <c r="B4" s="654" t="s">
        <v>6</v>
      </c>
    </row>
    <row r="5" spans="1:4">
      <c r="A5" s="1012"/>
      <c r="B5" s="657" t="s">
        <v>7</v>
      </c>
    </row>
    <row r="6" spans="1:4">
      <c r="A6" s="1012"/>
      <c r="B6" s="657" t="s">
        <v>8</v>
      </c>
    </row>
    <row r="7" spans="1:4">
      <c r="A7" s="1012"/>
      <c r="B7" s="654" t="s">
        <v>9</v>
      </c>
    </row>
    <row r="8" spans="1:4">
      <c r="A8" s="1012"/>
      <c r="B8" s="654" t="s">
        <v>10</v>
      </c>
    </row>
    <row r="9" spans="1:4" ht="12.75" thickBot="1">
      <c r="A9" s="1012"/>
      <c r="B9" s="654" t="s">
        <v>11</v>
      </c>
    </row>
    <row r="10" spans="1:4">
      <c r="A10" s="658" t="s">
        <v>12</v>
      </c>
      <c r="B10" s="659" t="s">
        <v>13</v>
      </c>
    </row>
    <row r="11" spans="1:4" ht="12.75" thickBot="1">
      <c r="A11" s="660" t="s">
        <v>14</v>
      </c>
      <c r="B11" s="656" t="s">
        <v>15</v>
      </c>
    </row>
    <row r="12" spans="1:4">
      <c r="A12" s="1012" t="s">
        <v>16</v>
      </c>
      <c r="B12" s="654" t="s">
        <v>17</v>
      </c>
    </row>
    <row r="13" spans="1:4" ht="36">
      <c r="A13" s="1012"/>
      <c r="B13" s="654" t="s">
        <v>18</v>
      </c>
    </row>
    <row r="14" spans="1:4" ht="24">
      <c r="A14" s="1012"/>
      <c r="B14" s="654" t="s">
        <v>19</v>
      </c>
    </row>
    <row r="15" spans="1:4" ht="12.75" thickBot="1">
      <c r="A15" s="1015"/>
      <c r="B15" s="656" t="s">
        <v>20</v>
      </c>
    </row>
    <row r="16" spans="1:4" ht="24.75" thickBot="1">
      <c r="A16" s="660" t="s">
        <v>21</v>
      </c>
      <c r="B16" s="656" t="s">
        <v>22</v>
      </c>
    </row>
    <row r="17" spans="1:2">
      <c r="A17" s="1018" t="s">
        <v>23</v>
      </c>
      <c r="B17" s="658" t="s">
        <v>24</v>
      </c>
    </row>
    <row r="18" spans="1:2">
      <c r="A18" s="1019"/>
      <c r="B18" s="661" t="s">
        <v>25</v>
      </c>
    </row>
    <row r="19" spans="1:2" ht="12.75" thickBot="1">
      <c r="A19" s="1020"/>
      <c r="B19" s="935" t="s">
        <v>22</v>
      </c>
    </row>
    <row r="20" spans="1:2" ht="12.75" thickBot="1">
      <c r="A20" s="1016" t="s">
        <v>26</v>
      </c>
      <c r="B20" s="1017"/>
    </row>
    <row r="21" spans="1:2" ht="24">
      <c r="A21" s="1011" t="s">
        <v>27</v>
      </c>
      <c r="B21" s="654" t="s">
        <v>28</v>
      </c>
    </row>
    <row r="22" spans="1:2" ht="24">
      <c r="A22" s="1012"/>
      <c r="B22" s="654" t="s">
        <v>29</v>
      </c>
    </row>
    <row r="23" spans="1:2" ht="24" customHeight="1">
      <c r="A23" s="1012"/>
      <c r="B23" s="654" t="s">
        <v>30</v>
      </c>
    </row>
    <row r="24" spans="1:2" ht="12.75" thickBot="1">
      <c r="A24" s="1012"/>
      <c r="B24" s="654" t="s">
        <v>31</v>
      </c>
    </row>
    <row r="25" spans="1:2">
      <c r="A25" s="1018" t="s">
        <v>32</v>
      </c>
      <c r="B25" s="658" t="s">
        <v>33</v>
      </c>
    </row>
    <row r="26" spans="1:2">
      <c r="A26" s="1019"/>
      <c r="B26" s="661" t="s">
        <v>34</v>
      </c>
    </row>
    <row r="27" spans="1:2">
      <c r="A27" s="1019"/>
      <c r="B27" s="662" t="s">
        <v>35</v>
      </c>
    </row>
    <row r="28" spans="1:2">
      <c r="A28" s="1019"/>
      <c r="B28" s="662" t="s">
        <v>36</v>
      </c>
    </row>
    <row r="29" spans="1:2" ht="12.75" thickBot="1">
      <c r="A29" s="1023"/>
      <c r="B29" s="660" t="s">
        <v>37</v>
      </c>
    </row>
    <row r="30" spans="1:2">
      <c r="A30" s="1012" t="s">
        <v>38</v>
      </c>
      <c r="B30" s="654" t="s">
        <v>39</v>
      </c>
    </row>
    <row r="31" spans="1:2" ht="12.75" thickBot="1">
      <c r="A31" s="1012"/>
      <c r="B31" s="654" t="s">
        <v>40</v>
      </c>
    </row>
    <row r="32" spans="1:2" ht="12.75" thickBot="1">
      <c r="A32" s="663" t="s">
        <v>41</v>
      </c>
      <c r="B32" s="664" t="s">
        <v>42</v>
      </c>
    </row>
    <row r="33" spans="1:2" ht="12.75" thickBot="1">
      <c r="A33" s="660" t="s">
        <v>43</v>
      </c>
      <c r="B33" s="656" t="s">
        <v>44</v>
      </c>
    </row>
    <row r="34" spans="1:2">
      <c r="A34" s="1011" t="s">
        <v>45</v>
      </c>
      <c r="B34" s="658" t="s">
        <v>46</v>
      </c>
    </row>
    <row r="35" spans="1:2">
      <c r="A35" s="1012"/>
      <c r="B35" s="661" t="s">
        <v>47</v>
      </c>
    </row>
    <row r="36" spans="1:2" ht="12.75" thickBot="1">
      <c r="A36" s="1012"/>
      <c r="B36" s="660" t="s">
        <v>48</v>
      </c>
    </row>
    <row r="37" spans="1:2">
      <c r="A37" s="1011" t="s">
        <v>49</v>
      </c>
      <c r="B37" s="658" t="s">
        <v>50</v>
      </c>
    </row>
    <row r="38" spans="1:2">
      <c r="A38" s="1012"/>
      <c r="B38" s="661" t="s">
        <v>51</v>
      </c>
    </row>
    <row r="39" spans="1:2" ht="24">
      <c r="A39" s="1012"/>
      <c r="B39" s="661" t="s">
        <v>52</v>
      </c>
    </row>
    <row r="40" spans="1:2" ht="12.75" thickBot="1">
      <c r="A40" s="1012"/>
      <c r="B40" s="660" t="s">
        <v>53</v>
      </c>
    </row>
    <row r="41" spans="1:2">
      <c r="A41" s="1011" t="s">
        <v>54</v>
      </c>
      <c r="B41" s="659" t="s">
        <v>55</v>
      </c>
    </row>
    <row r="42" spans="1:2">
      <c r="A42" s="1012"/>
      <c r="B42" s="654" t="s">
        <v>56</v>
      </c>
    </row>
    <row r="43" spans="1:2">
      <c r="A43" s="1012"/>
      <c r="B43" s="654" t="s">
        <v>57</v>
      </c>
    </row>
    <row r="44" spans="1:2" ht="12.75" thickBot="1">
      <c r="A44" s="1015"/>
      <c r="B44" s="656" t="s">
        <v>58</v>
      </c>
    </row>
    <row r="45" spans="1:2" ht="12.75" thickBot="1">
      <c r="A45" s="658" t="s">
        <v>59</v>
      </c>
      <c r="B45" s="664" t="s">
        <v>60</v>
      </c>
    </row>
    <row r="46" spans="1:2">
      <c r="A46" s="1011" t="s">
        <v>61</v>
      </c>
      <c r="B46" s="654" t="s">
        <v>62</v>
      </c>
    </row>
    <row r="47" spans="1:2" ht="12.75" thickBot="1">
      <c r="A47" s="1015"/>
      <c r="B47" s="654" t="s">
        <v>63</v>
      </c>
    </row>
    <row r="48" spans="1:2" ht="12.6" customHeight="1">
      <c r="A48" s="1018" t="s">
        <v>64</v>
      </c>
      <c r="B48" s="658" t="s">
        <v>65</v>
      </c>
    </row>
    <row r="49" spans="1:2">
      <c r="A49" s="1021"/>
      <c r="B49" s="661" t="s">
        <v>66</v>
      </c>
    </row>
    <row r="50" spans="1:2" ht="12.75" thickBot="1">
      <c r="A50" s="1022"/>
      <c r="B50" s="660" t="s">
        <v>67</v>
      </c>
    </row>
    <row r="51" spans="1:2" ht="12.75" thickBot="1">
      <c r="A51" s="660" t="s">
        <v>68</v>
      </c>
      <c r="B51" s="656" t="s">
        <v>69</v>
      </c>
    </row>
    <row r="52" spans="1:2" ht="12" customHeight="1">
      <c r="A52" s="1018" t="s">
        <v>70</v>
      </c>
      <c r="B52" s="658" t="s">
        <v>71</v>
      </c>
    </row>
    <row r="53" spans="1:2" ht="12" customHeight="1">
      <c r="A53" s="1019"/>
      <c r="B53" s="661" t="s">
        <v>72</v>
      </c>
    </row>
    <row r="54" spans="1:2" ht="12" customHeight="1" thickBot="1">
      <c r="A54" s="1020"/>
      <c r="B54" s="660" t="s">
        <v>73</v>
      </c>
    </row>
  </sheetData>
  <mergeCells count="15">
    <mergeCell ref="A52:A54"/>
    <mergeCell ref="A46:A47"/>
    <mergeCell ref="A48:A50"/>
    <mergeCell ref="A25:A29"/>
    <mergeCell ref="A30:A31"/>
    <mergeCell ref="A34:A36"/>
    <mergeCell ref="A37:A40"/>
    <mergeCell ref="A41:A44"/>
    <mergeCell ref="A21:A24"/>
    <mergeCell ref="A1:B1"/>
    <mergeCell ref="A2:A3"/>
    <mergeCell ref="A4:A9"/>
    <mergeCell ref="A12:A15"/>
    <mergeCell ref="A20:B20"/>
    <mergeCell ref="A17:A19"/>
  </mergeCells>
  <printOptions horizontalCentered="1"/>
  <pageMargins left="0.25" right="0.25" top="0.5" bottom="0.5" header="0.3" footer="0.3"/>
  <pageSetup orientation="portrait" r:id="rId1"/>
  <headerFooter>
    <oddFooter>&amp;L&amp;9&amp;A&amp;C&amp;10page &amp;P of &amp;N&amp;R&amp;9&amp;D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AG136"/>
  <sheetViews>
    <sheetView showGridLines="0" zoomScaleNormal="100" zoomScaleSheetLayoutView="100" workbookViewId="0">
      <pane xSplit="2" ySplit="5" topLeftCell="S74" activePane="bottomRight" state="frozen"/>
      <selection pane="bottomRight" activeCell="X96" sqref="X96"/>
      <selection pane="bottomLeft" activeCell="A7" sqref="A7"/>
      <selection pane="topRight" activeCell="B1" sqref="B1"/>
    </sheetView>
  </sheetViews>
  <sheetFormatPr defaultColWidth="9.375" defaultRowHeight="12"/>
  <cols>
    <col min="1" max="1" width="2.5" style="211" customWidth="1"/>
    <col min="2" max="2" width="28.375" style="32" customWidth="1"/>
    <col min="3" max="10" width="7.75" style="46" customWidth="1"/>
    <col min="11" max="13" width="6.375" style="46" customWidth="1"/>
    <col min="14" max="14" width="6.375" style="46" bestFit="1" customWidth="1"/>
    <col min="15" max="17" width="7.5" style="46" bestFit="1" customWidth="1"/>
    <col min="18" max="19" width="8.125" style="46" bestFit="1" customWidth="1"/>
    <col min="20" max="26" width="8.625" style="46" bestFit="1" customWidth="1"/>
    <col min="27" max="27" width="8.625" style="22" bestFit="1" customWidth="1"/>
    <col min="28" max="28" width="10.875" style="111" bestFit="1" customWidth="1"/>
    <col min="29" max="29" width="13.25" style="111" bestFit="1" customWidth="1"/>
    <col min="30" max="258" width="9.375" style="32" customWidth="1"/>
    <col min="259" max="16384" width="9.375" style="32"/>
  </cols>
  <sheetData>
    <row r="1" spans="1:33">
      <c r="B1" s="25" t="str">
        <f>Summary!B1</f>
        <v>Municipality of Berkley</v>
      </c>
      <c r="C1" s="110"/>
      <c r="D1" s="110"/>
      <c r="E1" s="110"/>
      <c r="F1" s="110"/>
      <c r="G1" s="110"/>
      <c r="H1" s="110"/>
      <c r="I1" s="110"/>
    </row>
    <row r="2" spans="1:33">
      <c r="B2" s="112" t="s">
        <v>118</v>
      </c>
      <c r="C2" s="113"/>
      <c r="D2" s="113"/>
      <c r="E2" s="113"/>
      <c r="F2" s="113"/>
      <c r="G2" s="113"/>
      <c r="H2" s="113"/>
      <c r="I2" s="113"/>
      <c r="J2" s="113"/>
      <c r="K2" s="114"/>
      <c r="L2" s="114"/>
    </row>
    <row r="3" spans="1:33">
      <c r="B3" s="115"/>
      <c r="C3" s="113"/>
      <c r="D3" s="113"/>
      <c r="E3" s="113"/>
      <c r="F3" s="113"/>
      <c r="G3" s="113"/>
      <c r="H3" s="113"/>
      <c r="I3" s="113"/>
      <c r="J3" s="113"/>
      <c r="K3" s="114"/>
    </row>
    <row r="4" spans="1:33">
      <c r="B4" s="116"/>
      <c r="C4" s="117" t="s">
        <v>82</v>
      </c>
      <c r="D4" s="117" t="s">
        <v>83</v>
      </c>
      <c r="E4" s="117" t="s">
        <v>84</v>
      </c>
      <c r="F4" s="117" t="s">
        <v>85</v>
      </c>
      <c r="G4" s="117" t="s">
        <v>86</v>
      </c>
      <c r="H4" s="117" t="s">
        <v>87</v>
      </c>
      <c r="I4" s="117" t="s">
        <v>88</v>
      </c>
      <c r="J4" s="117" t="s">
        <v>89</v>
      </c>
      <c r="K4" s="117" t="s">
        <v>90</v>
      </c>
      <c r="L4" s="117" t="s">
        <v>91</v>
      </c>
      <c r="M4" s="117" t="s">
        <v>92</v>
      </c>
      <c r="N4" s="117" t="s">
        <v>93</v>
      </c>
      <c r="O4" s="117" t="s">
        <v>94</v>
      </c>
      <c r="P4" s="117" t="s">
        <v>95</v>
      </c>
      <c r="Q4" s="117" t="s">
        <v>96</v>
      </c>
      <c r="R4" s="117" t="s">
        <v>97</v>
      </c>
      <c r="S4" s="117" t="s">
        <v>98</v>
      </c>
      <c r="T4" s="117" t="s">
        <v>99</v>
      </c>
      <c r="U4" s="117" t="s">
        <v>100</v>
      </c>
      <c r="V4" s="117" t="s">
        <v>101</v>
      </c>
      <c r="W4" s="117" t="s">
        <v>102</v>
      </c>
      <c r="X4" s="117" t="s">
        <v>103</v>
      </c>
      <c r="Y4" s="117" t="s">
        <v>104</v>
      </c>
      <c r="Z4" s="117" t="s">
        <v>105</v>
      </c>
      <c r="AA4" s="117" t="s">
        <v>106</v>
      </c>
      <c r="AB4" s="117" t="s">
        <v>107</v>
      </c>
      <c r="AC4" s="260" t="s">
        <v>157</v>
      </c>
      <c r="AD4" s="111" t="s">
        <v>213</v>
      </c>
      <c r="AE4" s="260" t="s">
        <v>160</v>
      </c>
    </row>
    <row r="5" spans="1:33">
      <c r="B5" s="116"/>
      <c r="C5" s="117" t="s">
        <v>387</v>
      </c>
      <c r="D5" s="117" t="s">
        <v>387</v>
      </c>
      <c r="E5" s="117" t="s">
        <v>387</v>
      </c>
      <c r="F5" s="117" t="s">
        <v>387</v>
      </c>
      <c r="G5" s="117" t="s">
        <v>387</v>
      </c>
      <c r="H5" s="117" t="s">
        <v>387</v>
      </c>
      <c r="I5" s="117" t="s">
        <v>387</v>
      </c>
      <c r="J5" s="117" t="s">
        <v>387</v>
      </c>
      <c r="K5" s="117" t="s">
        <v>387</v>
      </c>
      <c r="L5" s="117" t="s">
        <v>387</v>
      </c>
      <c r="M5" s="117" t="s">
        <v>387</v>
      </c>
      <c r="N5" s="117" t="s">
        <v>387</v>
      </c>
      <c r="O5" s="117" t="s">
        <v>387</v>
      </c>
      <c r="P5" s="117" t="s">
        <v>387</v>
      </c>
      <c r="Q5" s="117" t="s">
        <v>387</v>
      </c>
      <c r="R5" s="117" t="s">
        <v>387</v>
      </c>
      <c r="S5" s="117" t="s">
        <v>387</v>
      </c>
      <c r="T5" s="117" t="s">
        <v>387</v>
      </c>
      <c r="U5" s="117" t="s">
        <v>158</v>
      </c>
      <c r="V5" s="117" t="s">
        <v>158</v>
      </c>
      <c r="W5" s="117" t="s">
        <v>158</v>
      </c>
      <c r="X5" s="117" t="s">
        <v>158</v>
      </c>
      <c r="Y5" s="117" t="s">
        <v>159</v>
      </c>
      <c r="Z5" s="117" t="s">
        <v>159</v>
      </c>
      <c r="AA5" s="117" t="s">
        <v>159</v>
      </c>
      <c r="AB5" s="117" t="s">
        <v>159</v>
      </c>
      <c r="AD5" s="111"/>
      <c r="AE5" s="886"/>
    </row>
    <row r="6" spans="1:33">
      <c r="B6" s="112" t="s">
        <v>473</v>
      </c>
      <c r="C6" s="113"/>
      <c r="D6" s="113"/>
      <c r="E6" s="113"/>
      <c r="F6" s="113"/>
      <c r="G6" s="113"/>
      <c r="H6" s="113"/>
      <c r="I6" s="113"/>
      <c r="J6" s="113"/>
      <c r="K6" s="114"/>
      <c r="L6" s="117"/>
      <c r="AA6" s="46"/>
      <c r="AB6" s="46"/>
      <c r="AE6" s="779" t="s">
        <v>474</v>
      </c>
      <c r="AF6" s="778" t="s">
        <v>475</v>
      </c>
    </row>
    <row r="7" spans="1:33">
      <c r="B7" s="84" t="s">
        <v>27</v>
      </c>
      <c r="C7" s="118"/>
      <c r="D7" s="118"/>
      <c r="E7" s="118"/>
      <c r="F7" s="118"/>
      <c r="G7" s="118"/>
      <c r="H7" s="118"/>
      <c r="I7" s="118"/>
      <c r="J7" s="119"/>
      <c r="K7" s="119"/>
      <c r="L7" s="169">
        <v>0</v>
      </c>
      <c r="M7" s="169">
        <v>0</v>
      </c>
      <c r="N7" s="169">
        <v>0</v>
      </c>
      <c r="O7" s="169">
        <v>0</v>
      </c>
      <c r="P7" s="169">
        <v>0</v>
      </c>
      <c r="Q7" s="169">
        <v>0</v>
      </c>
      <c r="R7" s="169">
        <v>0</v>
      </c>
      <c r="S7" s="104">
        <v>0</v>
      </c>
      <c r="T7" s="169">
        <f>'Position Control'!T60</f>
        <v>441553</v>
      </c>
      <c r="U7" s="169">
        <f>'Position Control'!U60</f>
        <v>444003</v>
      </c>
      <c r="V7" s="169">
        <f>'Position Control'!V60</f>
        <v>494670</v>
      </c>
      <c r="W7" s="169">
        <f>'Position Control'!W60</f>
        <v>510223</v>
      </c>
      <c r="X7" s="169">
        <v>596065.33499999996</v>
      </c>
      <c r="Y7" s="169">
        <v>627095.26585000008</v>
      </c>
      <c r="Z7" s="169">
        <v>658303.53524150001</v>
      </c>
      <c r="AA7" s="169">
        <v>689695.44214306504</v>
      </c>
      <c r="AB7" s="169">
        <v>721276.44346856338</v>
      </c>
      <c r="AC7" s="987">
        <f>AB7/W7-1</f>
        <v>0.4136494110782214</v>
      </c>
      <c r="AD7" s="8">
        <f>IFERROR(AVERAGE((U7-T7)/T7,(V7-U7)/U7,(W7-V7)/V7),"")</f>
        <v>5.0367951469720694E-2</v>
      </c>
      <c r="AE7" s="887">
        <v>0</v>
      </c>
    </row>
    <row r="8" spans="1:33">
      <c r="B8" s="84" t="s">
        <v>32</v>
      </c>
      <c r="C8" s="118"/>
      <c r="D8" s="118"/>
      <c r="E8" s="118"/>
      <c r="F8" s="118"/>
      <c r="G8" s="118"/>
      <c r="H8" s="118"/>
      <c r="I8" s="118"/>
      <c r="J8" s="119"/>
      <c r="K8" s="119"/>
      <c r="L8" s="169">
        <v>0</v>
      </c>
      <c r="M8" s="169">
        <v>0</v>
      </c>
      <c r="N8" s="169">
        <v>0</v>
      </c>
      <c r="O8" s="169">
        <v>0</v>
      </c>
      <c r="P8" s="169">
        <v>0</v>
      </c>
      <c r="Q8" s="169">
        <v>0</v>
      </c>
      <c r="R8" s="169">
        <v>0</v>
      </c>
      <c r="S8" s="169">
        <f>ROUND(R8*(1+$AE7),0)</f>
        <v>0</v>
      </c>
      <c r="T8" s="169">
        <v>354801</v>
      </c>
      <c r="U8" s="169">
        <v>386033</v>
      </c>
      <c r="V8" s="169">
        <v>374223</v>
      </c>
      <c r="W8" s="169">
        <v>413349</v>
      </c>
      <c r="X8" s="169">
        <v>433758</v>
      </c>
      <c r="Y8" s="169">
        <f>X8*(1+$AD8)+40000</f>
        <v>497178.93714871828</v>
      </c>
      <c r="Z8" s="169">
        <f t="shared" ref="Z8:AB8" si="0">Y8*(1+$AD8)</f>
        <v>524024.31323083478</v>
      </c>
      <c r="AA8" s="169">
        <f t="shared" si="0"/>
        <v>552319.21615960996</v>
      </c>
      <c r="AB8" s="169">
        <f t="shared" si="0"/>
        <v>582141.91371839517</v>
      </c>
      <c r="AC8" s="987">
        <f t="shared" ref="AC8" si="1">AB8/W8-1</f>
        <v>0.40835447459264484</v>
      </c>
      <c r="AD8" s="8">
        <f>IFERROR(AVERAGE((U8-T8)/T8,(V8-U8)/U8,(W8-V8)/V8),"")</f>
        <v>5.3995401004058093E-2</v>
      </c>
      <c r="AE8" s="887">
        <v>0</v>
      </c>
    </row>
    <row r="9" spans="1:33">
      <c r="B9" s="84" t="s">
        <v>476</v>
      </c>
      <c r="C9" s="118"/>
      <c r="D9" s="118"/>
      <c r="E9" s="118"/>
      <c r="F9" s="118"/>
      <c r="G9" s="118"/>
      <c r="H9" s="118"/>
      <c r="I9" s="118"/>
      <c r="J9" s="119"/>
      <c r="K9" s="119"/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69">
        <f>ROUND(R9*(1+$AE8),0)</f>
        <v>0</v>
      </c>
      <c r="T9" s="169">
        <f t="shared" ref="T9:Z9" si="2">ROUND(S9*(1+$AE8),0)</f>
        <v>0</v>
      </c>
      <c r="U9" s="169">
        <f t="shared" si="2"/>
        <v>0</v>
      </c>
      <c r="V9" s="169">
        <f t="shared" si="2"/>
        <v>0</v>
      </c>
      <c r="W9" s="169">
        <f t="shared" si="2"/>
        <v>0</v>
      </c>
      <c r="X9" s="169">
        <f t="shared" si="2"/>
        <v>0</v>
      </c>
      <c r="Y9" s="169">
        <f t="shared" si="2"/>
        <v>0</v>
      </c>
      <c r="Z9" s="169">
        <f t="shared" si="2"/>
        <v>0</v>
      </c>
      <c r="AA9" s="169">
        <f t="shared" ref="AA9:AB9" si="3">ROUND(Z9*(1+$AE8),0)</f>
        <v>0</v>
      </c>
      <c r="AB9" s="169">
        <f t="shared" si="3"/>
        <v>0</v>
      </c>
      <c r="AC9" s="987"/>
      <c r="AE9" s="888"/>
      <c r="AF9" s="122"/>
      <c r="AG9" s="122"/>
    </row>
    <row r="10" spans="1:33" s="122" customFormat="1">
      <c r="A10" s="744"/>
      <c r="B10" s="120" t="s">
        <v>477</v>
      </c>
      <c r="C10" s="611">
        <f t="shared" ref="C10:K10" si="4">SUM(C7:C9)</f>
        <v>0</v>
      </c>
      <c r="D10" s="611">
        <f t="shared" si="4"/>
        <v>0</v>
      </c>
      <c r="E10" s="611">
        <f t="shared" si="4"/>
        <v>0</v>
      </c>
      <c r="F10" s="611">
        <f t="shared" si="4"/>
        <v>0</v>
      </c>
      <c r="G10" s="611">
        <f t="shared" si="4"/>
        <v>0</v>
      </c>
      <c r="H10" s="611">
        <f t="shared" si="4"/>
        <v>0</v>
      </c>
      <c r="I10" s="611">
        <f t="shared" si="4"/>
        <v>0</v>
      </c>
      <c r="J10" s="611">
        <f t="shared" si="4"/>
        <v>0</v>
      </c>
      <c r="K10" s="611">
        <f t="shared" si="4"/>
        <v>0</v>
      </c>
      <c r="L10" s="611">
        <f t="shared" ref="L10" si="5">SUM(L7:L9)</f>
        <v>0</v>
      </c>
      <c r="M10" s="611">
        <f t="shared" ref="M10:N10" si="6">SUM(M7:M9)</f>
        <v>0</v>
      </c>
      <c r="N10" s="611">
        <f t="shared" si="6"/>
        <v>0</v>
      </c>
      <c r="O10" s="611">
        <f t="shared" ref="O10:T10" si="7">SUM(O7:O9)</f>
        <v>0</v>
      </c>
      <c r="P10" s="611">
        <f t="shared" si="7"/>
        <v>0</v>
      </c>
      <c r="Q10" s="611">
        <f t="shared" si="7"/>
        <v>0</v>
      </c>
      <c r="R10" s="611">
        <f t="shared" si="7"/>
        <v>0</v>
      </c>
      <c r="S10" s="611">
        <f t="shared" si="7"/>
        <v>0</v>
      </c>
      <c r="T10" s="611">
        <f t="shared" si="7"/>
        <v>796354</v>
      </c>
      <c r="U10" s="611">
        <f t="shared" ref="U10:V10" si="8">SUM(U7:U9)</f>
        <v>830036</v>
      </c>
      <c r="V10" s="611">
        <f t="shared" si="8"/>
        <v>868893</v>
      </c>
      <c r="W10" s="611">
        <f>SUM(W7:W9)</f>
        <v>923572</v>
      </c>
      <c r="X10" s="611">
        <f t="shared" ref="X10" si="9">SUM(X7:X9)</f>
        <v>1029823.335</v>
      </c>
      <c r="Y10" s="611">
        <f t="shared" ref="Y10:Z10" si="10">SUM(Y7:Y9)</f>
        <v>1124274.2029987182</v>
      </c>
      <c r="Z10" s="611">
        <f t="shared" si="10"/>
        <v>1182327.8484723349</v>
      </c>
      <c r="AA10" s="611">
        <f t="shared" ref="AA10:AB10" si="11">SUM(AA7:AA9)</f>
        <v>1242014.658302675</v>
      </c>
      <c r="AB10" s="611">
        <f t="shared" si="11"/>
        <v>1303418.3571869587</v>
      </c>
      <c r="AC10" s="987">
        <f t="shared" ref="AC10" si="12">AB10/W10-1</f>
        <v>0.41127963730706285</v>
      </c>
      <c r="AD10" s="8">
        <f>IFERROR(AVERAGE((U10-T10)/T10,(V10-U10)/U10,(W10-V10)/V10),"")</f>
        <v>5.0679463492793418E-2</v>
      </c>
      <c r="AE10" s="886"/>
      <c r="AF10" s="32"/>
      <c r="AG10" s="32"/>
    </row>
    <row r="11" spans="1:33">
      <c r="B11" s="112"/>
      <c r="C11" s="113"/>
      <c r="D11" s="113"/>
      <c r="E11" s="113"/>
      <c r="F11" s="113"/>
      <c r="G11" s="113"/>
      <c r="H11" s="113"/>
      <c r="I11" s="113"/>
      <c r="J11" s="113"/>
      <c r="K11" s="114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988"/>
      <c r="AD11" s="8" t="str">
        <f t="shared" ref="AD11:AD26" si="13">IFERROR(AVERAGE((U11-T11)/T11,(V11-U11)/U11,(W11-V11)/V11),"")</f>
        <v/>
      </c>
      <c r="AE11" s="886"/>
    </row>
    <row r="12" spans="1:33">
      <c r="B12" s="112" t="s">
        <v>478</v>
      </c>
      <c r="C12" s="113"/>
      <c r="D12" s="113"/>
      <c r="E12" s="113"/>
      <c r="F12" s="113"/>
      <c r="G12" s="113"/>
      <c r="H12" s="113"/>
      <c r="I12" s="113"/>
      <c r="J12" s="113"/>
      <c r="K12" s="114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988"/>
      <c r="AD12" s="8" t="str">
        <f t="shared" si="13"/>
        <v/>
      </c>
      <c r="AE12" s="779" t="s">
        <v>474</v>
      </c>
      <c r="AF12" s="778" t="s">
        <v>475</v>
      </c>
    </row>
    <row r="13" spans="1:33">
      <c r="B13" s="84" t="s">
        <v>479</v>
      </c>
      <c r="C13" s="118"/>
      <c r="D13" s="118"/>
      <c r="E13" s="118"/>
      <c r="F13" s="118"/>
      <c r="G13" s="118"/>
      <c r="H13" s="118"/>
      <c r="I13" s="118"/>
      <c r="J13" s="104"/>
      <c r="K13" s="104"/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1385264</v>
      </c>
      <c r="U13" s="169">
        <v>1326905</v>
      </c>
      <c r="V13" s="169">
        <v>1421402</v>
      </c>
      <c r="W13" s="169">
        <f>1475492+73111</f>
        <v>1548603</v>
      </c>
      <c r="X13" s="169">
        <v>1778556</v>
      </c>
      <c r="Y13" s="169">
        <v>1858844</v>
      </c>
      <c r="Z13" s="169">
        <v>1941292</v>
      </c>
      <c r="AA13" s="169">
        <v>2028163</v>
      </c>
      <c r="AB13" s="169">
        <v>2118408</v>
      </c>
      <c r="AC13" s="987">
        <f>AB13/W13-1</f>
        <v>0.3679477567846634</v>
      </c>
      <c r="AD13" s="8">
        <f>IFERROR(AVERAGE((U13-T13)/T13,(V13-U13)/U13,(W13-V13)/V13),"")</f>
        <v>3.9525827455581357E-2</v>
      </c>
      <c r="AE13" s="887">
        <v>0.04</v>
      </c>
    </row>
    <row r="14" spans="1:33">
      <c r="B14" s="84" t="s">
        <v>480</v>
      </c>
      <c r="C14" s="118"/>
      <c r="D14" s="118"/>
      <c r="E14" s="118"/>
      <c r="F14" s="118"/>
      <c r="G14" s="118"/>
      <c r="H14" s="118"/>
      <c r="I14" s="118"/>
      <c r="J14" s="104"/>
      <c r="K14" s="104"/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S14" s="169">
        <f t="shared" ref="S14:Z15" si="14">ROUND(R14*(1+$AE13),0)</f>
        <v>0</v>
      </c>
      <c r="T14" s="169">
        <v>128515</v>
      </c>
      <c r="U14" s="169">
        <v>129768</v>
      </c>
      <c r="V14" s="169">
        <v>133072</v>
      </c>
      <c r="W14" s="169">
        <v>131775</v>
      </c>
      <c r="X14" s="169">
        <v>149536</v>
      </c>
      <c r="Y14" s="169">
        <f t="shared" si="14"/>
        <v>155517</v>
      </c>
      <c r="Z14" s="169">
        <f t="shared" si="14"/>
        <v>161738</v>
      </c>
      <c r="AA14" s="169">
        <f t="shared" ref="AA14:AB14" si="15">ROUND(Z14*(1+$AE13),0)</f>
        <v>168208</v>
      </c>
      <c r="AB14" s="169">
        <f t="shared" si="15"/>
        <v>174936</v>
      </c>
      <c r="AC14" s="987">
        <f>AB14/W14-1</f>
        <v>0.32753557199772332</v>
      </c>
      <c r="AD14" s="8">
        <f t="shared" si="13"/>
        <v>8.4880178992761523E-3</v>
      </c>
      <c r="AE14" s="887">
        <v>0</v>
      </c>
    </row>
    <row r="15" spans="1:33">
      <c r="B15" s="84" t="s">
        <v>481</v>
      </c>
      <c r="C15" s="118"/>
      <c r="D15" s="118"/>
      <c r="E15" s="118"/>
      <c r="F15" s="118"/>
      <c r="G15" s="118"/>
      <c r="H15" s="118"/>
      <c r="I15" s="118"/>
      <c r="J15" s="104"/>
      <c r="K15" s="104"/>
      <c r="L15" s="169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f t="shared" si="14"/>
        <v>0</v>
      </c>
      <c r="T15" s="169">
        <f t="shared" si="14"/>
        <v>0</v>
      </c>
      <c r="U15" s="169">
        <f t="shared" si="14"/>
        <v>0</v>
      </c>
      <c r="V15" s="169">
        <f t="shared" si="14"/>
        <v>0</v>
      </c>
      <c r="W15" s="169">
        <f t="shared" si="14"/>
        <v>0</v>
      </c>
      <c r="X15" s="169">
        <f t="shared" si="14"/>
        <v>0</v>
      </c>
      <c r="Y15" s="169">
        <f t="shared" si="14"/>
        <v>0</v>
      </c>
      <c r="Z15" s="169">
        <f t="shared" si="14"/>
        <v>0</v>
      </c>
      <c r="AA15" s="169">
        <f t="shared" ref="AA15:AB15" si="16">ROUND(Z15*(1+$AE14),0)</f>
        <v>0</v>
      </c>
      <c r="AB15" s="169">
        <f t="shared" si="16"/>
        <v>0</v>
      </c>
      <c r="AC15" s="987"/>
      <c r="AD15" s="8" t="str">
        <f t="shared" si="13"/>
        <v/>
      </c>
      <c r="AE15" s="888"/>
      <c r="AF15" s="122"/>
      <c r="AG15" s="122"/>
    </row>
    <row r="16" spans="1:33" s="122" customFormat="1">
      <c r="A16" s="744"/>
      <c r="B16" s="123" t="s">
        <v>482</v>
      </c>
      <c r="C16" s="169">
        <f t="shared" ref="C16:K16" si="17">SUM(C13:C15)</f>
        <v>0</v>
      </c>
      <c r="D16" s="169">
        <f t="shared" si="17"/>
        <v>0</v>
      </c>
      <c r="E16" s="169">
        <f t="shared" si="17"/>
        <v>0</v>
      </c>
      <c r="F16" s="169">
        <f t="shared" si="17"/>
        <v>0</v>
      </c>
      <c r="G16" s="169">
        <f t="shared" si="17"/>
        <v>0</v>
      </c>
      <c r="H16" s="169">
        <f t="shared" si="17"/>
        <v>0</v>
      </c>
      <c r="I16" s="169">
        <f t="shared" si="17"/>
        <v>0</v>
      </c>
      <c r="J16" s="169">
        <f t="shared" si="17"/>
        <v>0</v>
      </c>
      <c r="K16" s="169">
        <f t="shared" si="17"/>
        <v>0</v>
      </c>
      <c r="L16" s="169">
        <f t="shared" ref="L16:M16" si="18">SUM(L13:L15)</f>
        <v>0</v>
      </c>
      <c r="M16" s="169">
        <f t="shared" si="18"/>
        <v>0</v>
      </c>
      <c r="N16" s="169">
        <f t="shared" ref="N16:O16" si="19">SUM(N13:N15)</f>
        <v>0</v>
      </c>
      <c r="O16" s="169">
        <f t="shared" si="19"/>
        <v>0</v>
      </c>
      <c r="P16" s="169">
        <f t="shared" ref="P16:T16" si="20">SUM(P13:P15)</f>
        <v>0</v>
      </c>
      <c r="Q16" s="169">
        <f t="shared" si="20"/>
        <v>0</v>
      </c>
      <c r="R16" s="169">
        <f t="shared" si="20"/>
        <v>0</v>
      </c>
      <c r="S16" s="169">
        <f t="shared" si="20"/>
        <v>0</v>
      </c>
      <c r="T16" s="169">
        <f t="shared" si="20"/>
        <v>1513779</v>
      </c>
      <c r="U16" s="169">
        <f t="shared" ref="U16:V16" si="21">SUM(U13:U15)</f>
        <v>1456673</v>
      </c>
      <c r="V16" s="169">
        <f t="shared" si="21"/>
        <v>1554474</v>
      </c>
      <c r="W16" s="169">
        <f t="shared" ref="W16:X16" si="22">SUM(W13:W15)</f>
        <v>1680378</v>
      </c>
      <c r="X16" s="169">
        <f t="shared" si="22"/>
        <v>1928092</v>
      </c>
      <c r="Y16" s="169">
        <f t="shared" ref="Y16:Z16" si="23">SUM(Y13:Y15)</f>
        <v>2014361</v>
      </c>
      <c r="Z16" s="169">
        <f t="shared" si="23"/>
        <v>2103030</v>
      </c>
      <c r="AA16" s="169">
        <f t="shared" ref="AA16:AB16" si="24">SUM(AA13:AA15)</f>
        <v>2196371</v>
      </c>
      <c r="AB16" s="169">
        <f t="shared" si="24"/>
        <v>2293344</v>
      </c>
      <c r="AC16" s="987">
        <f t="shared" ref="AC16:AC73" si="25">AB16/W16-1</f>
        <v>0.36477863909191854</v>
      </c>
      <c r="AD16" s="8">
        <f t="shared" si="13"/>
        <v>3.6803483335440923E-2</v>
      </c>
      <c r="AE16" s="782"/>
      <c r="AF16" s="32"/>
      <c r="AG16" s="32"/>
    </row>
    <row r="17" spans="1:33">
      <c r="B17" s="112"/>
      <c r="C17" s="113"/>
      <c r="D17" s="113"/>
      <c r="E17" s="113"/>
      <c r="F17" s="113"/>
      <c r="G17" s="113"/>
      <c r="H17" s="113"/>
      <c r="I17" s="113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987"/>
      <c r="AD17" s="8" t="str">
        <f t="shared" si="13"/>
        <v/>
      </c>
      <c r="AE17" s="779" t="s">
        <v>474</v>
      </c>
      <c r="AF17" s="778" t="s">
        <v>475</v>
      </c>
    </row>
    <row r="18" spans="1:33">
      <c r="B18" s="84" t="s">
        <v>483</v>
      </c>
      <c r="C18" s="118"/>
      <c r="D18" s="118"/>
      <c r="E18" s="118"/>
      <c r="F18" s="118"/>
      <c r="G18" s="118"/>
      <c r="H18" s="118"/>
      <c r="I18" s="118"/>
      <c r="J18" s="104"/>
      <c r="K18" s="104"/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661928</v>
      </c>
      <c r="U18" s="169">
        <v>703950</v>
      </c>
      <c r="V18" s="169">
        <v>883105</v>
      </c>
      <c r="W18" s="169">
        <v>900870</v>
      </c>
      <c r="X18" s="169">
        <v>1185042</v>
      </c>
      <c r="Y18" s="169">
        <f>X18*1.06</f>
        <v>1256144.52</v>
      </c>
      <c r="Z18" s="169">
        <f>Y18*1.04</f>
        <v>1306390.3008000001</v>
      </c>
      <c r="AA18" s="169">
        <f t="shared" ref="AA18:AB18" si="26">Z18*1.04</f>
        <v>1358645.9128320001</v>
      </c>
      <c r="AB18" s="169">
        <f t="shared" si="26"/>
        <v>1412991.74934528</v>
      </c>
      <c r="AC18" s="987">
        <f t="shared" si="25"/>
        <v>0.56847464045342844</v>
      </c>
      <c r="AD18" s="8">
        <f t="shared" si="13"/>
        <v>0.11270012535116858</v>
      </c>
      <c r="AE18" s="887">
        <v>0.06</v>
      </c>
    </row>
    <row r="19" spans="1:33">
      <c r="B19" s="84" t="s">
        <v>484</v>
      </c>
      <c r="C19" s="118"/>
      <c r="D19" s="118"/>
      <c r="E19" s="118"/>
      <c r="F19" s="118"/>
      <c r="G19" s="118"/>
      <c r="H19" s="118"/>
      <c r="I19" s="118"/>
      <c r="J19" s="104"/>
      <c r="K19" s="104"/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f t="shared" ref="S19:Z20" si="27">ROUND(R19*(1+$AE18),0)</f>
        <v>0</v>
      </c>
      <c r="T19" s="169">
        <v>147260</v>
      </c>
      <c r="U19" s="169">
        <v>273110</v>
      </c>
      <c r="V19" s="169">
        <v>189260</v>
      </c>
      <c r="W19" s="169">
        <v>228360</v>
      </c>
      <c r="X19" s="169">
        <v>310000</v>
      </c>
      <c r="Y19" s="169">
        <v>330725</v>
      </c>
      <c r="Z19" s="169">
        <v>334275</v>
      </c>
      <c r="AA19" s="169">
        <v>375100</v>
      </c>
      <c r="AB19" s="169">
        <v>422000</v>
      </c>
      <c r="AC19" s="987">
        <f t="shared" si="25"/>
        <v>0.84795936241022951</v>
      </c>
      <c r="AD19" s="8">
        <f t="shared" si="13"/>
        <v>0.25139528195203331</v>
      </c>
      <c r="AE19" s="887">
        <v>0.1</v>
      </c>
    </row>
    <row r="20" spans="1:33">
      <c r="B20" s="84" t="s">
        <v>485</v>
      </c>
      <c r="C20" s="118"/>
      <c r="D20" s="118"/>
      <c r="E20" s="118"/>
      <c r="F20" s="118"/>
      <c r="G20" s="118"/>
      <c r="H20" s="118"/>
      <c r="I20" s="118"/>
      <c r="J20" s="104"/>
      <c r="K20" s="104"/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f t="shared" si="27"/>
        <v>0</v>
      </c>
      <c r="T20" s="169">
        <f t="shared" si="27"/>
        <v>0</v>
      </c>
      <c r="U20" s="169">
        <f t="shared" si="27"/>
        <v>0</v>
      </c>
      <c r="V20" s="169">
        <f t="shared" si="27"/>
        <v>0</v>
      </c>
      <c r="W20" s="169">
        <f t="shared" si="27"/>
        <v>0</v>
      </c>
      <c r="X20" s="169">
        <f t="shared" si="27"/>
        <v>0</v>
      </c>
      <c r="Y20" s="169">
        <f t="shared" si="27"/>
        <v>0</v>
      </c>
      <c r="Z20" s="169">
        <f t="shared" si="27"/>
        <v>0</v>
      </c>
      <c r="AA20" s="169">
        <f t="shared" ref="AA20:AB20" si="28">ROUND(Z20*(1+$AE19),0)</f>
        <v>0</v>
      </c>
      <c r="AB20" s="169">
        <f t="shared" si="28"/>
        <v>0</v>
      </c>
      <c r="AC20" s="987"/>
      <c r="AD20" s="8" t="str">
        <f t="shared" si="13"/>
        <v/>
      </c>
      <c r="AE20" s="888"/>
      <c r="AF20" s="122"/>
      <c r="AG20" s="122"/>
    </row>
    <row r="21" spans="1:33" s="122" customFormat="1">
      <c r="A21" s="744"/>
      <c r="B21" s="123" t="s">
        <v>486</v>
      </c>
      <c r="C21" s="169">
        <f t="shared" ref="C21:K21" si="29">SUM(C18:C20)</f>
        <v>0</v>
      </c>
      <c r="D21" s="169">
        <f t="shared" si="29"/>
        <v>0</v>
      </c>
      <c r="E21" s="169">
        <f t="shared" si="29"/>
        <v>0</v>
      </c>
      <c r="F21" s="169">
        <f t="shared" si="29"/>
        <v>0</v>
      </c>
      <c r="G21" s="169">
        <f t="shared" si="29"/>
        <v>0</v>
      </c>
      <c r="H21" s="169">
        <f t="shared" si="29"/>
        <v>0</v>
      </c>
      <c r="I21" s="169">
        <f t="shared" si="29"/>
        <v>0</v>
      </c>
      <c r="J21" s="169">
        <f t="shared" si="29"/>
        <v>0</v>
      </c>
      <c r="K21" s="169">
        <f t="shared" si="29"/>
        <v>0</v>
      </c>
      <c r="L21" s="169">
        <f t="shared" ref="L21:M21" si="30">SUM(L18:L20)</f>
        <v>0</v>
      </c>
      <c r="M21" s="169">
        <f t="shared" si="30"/>
        <v>0</v>
      </c>
      <c r="N21" s="169">
        <f t="shared" ref="N21:O21" si="31">SUM(N18:N20)</f>
        <v>0</v>
      </c>
      <c r="O21" s="169">
        <f t="shared" si="31"/>
        <v>0</v>
      </c>
      <c r="P21" s="169">
        <f t="shared" ref="P21:T21" si="32">SUM(P18:P20)</f>
        <v>0</v>
      </c>
      <c r="Q21" s="169">
        <f t="shared" si="32"/>
        <v>0</v>
      </c>
      <c r="R21" s="169">
        <f t="shared" si="32"/>
        <v>0</v>
      </c>
      <c r="S21" s="169">
        <f t="shared" si="32"/>
        <v>0</v>
      </c>
      <c r="T21" s="169">
        <f t="shared" si="32"/>
        <v>809188</v>
      </c>
      <c r="U21" s="169">
        <f t="shared" ref="U21:V21" si="33">SUM(U18:U20)</f>
        <v>977060</v>
      </c>
      <c r="V21" s="169">
        <f t="shared" si="33"/>
        <v>1072365</v>
      </c>
      <c r="W21" s="169">
        <f t="shared" ref="W21:X21" si="34">SUM(W18:W20)</f>
        <v>1129230</v>
      </c>
      <c r="X21" s="169">
        <f t="shared" si="34"/>
        <v>1495042</v>
      </c>
      <c r="Y21" s="169">
        <f t="shared" ref="Y21:Z21" si="35">SUM(Y18:Y20)</f>
        <v>1586869.52</v>
      </c>
      <c r="Z21" s="169">
        <f t="shared" si="35"/>
        <v>1640665.3008000001</v>
      </c>
      <c r="AA21" s="169">
        <f t="shared" ref="AA21:AB21" si="36">SUM(AA18:AA20)</f>
        <v>1733745.9128320001</v>
      </c>
      <c r="AB21" s="169">
        <f t="shared" si="36"/>
        <v>1834991.74934528</v>
      </c>
      <c r="AC21" s="987">
        <f t="shared" si="25"/>
        <v>0.62499380050590214</v>
      </c>
      <c r="AD21" s="8">
        <f t="shared" si="13"/>
        <v>0.11934254467431242</v>
      </c>
      <c r="AE21" s="888"/>
    </row>
    <row r="22" spans="1:33" s="122" customFormat="1">
      <c r="A22" s="744"/>
      <c r="B22" s="125"/>
      <c r="C22" s="113"/>
      <c r="D22" s="113"/>
      <c r="E22" s="113"/>
      <c r="F22" s="113"/>
      <c r="G22" s="113"/>
      <c r="H22" s="113"/>
      <c r="I22" s="113"/>
      <c r="J22" s="46"/>
      <c r="K22" s="46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987"/>
      <c r="AD22" s="8" t="str">
        <f t="shared" si="13"/>
        <v/>
      </c>
      <c r="AE22" s="779" t="s">
        <v>474</v>
      </c>
      <c r="AF22" s="778" t="s">
        <v>475</v>
      </c>
      <c r="AG22" s="32"/>
    </row>
    <row r="23" spans="1:33">
      <c r="B23" s="84" t="s">
        <v>487</v>
      </c>
      <c r="C23" s="118"/>
      <c r="D23" s="118"/>
      <c r="E23" s="118"/>
      <c r="F23" s="118"/>
      <c r="G23" s="118"/>
      <c r="H23" s="118"/>
      <c r="I23" s="118"/>
      <c r="J23" s="104"/>
      <c r="K23" s="104"/>
      <c r="L23" s="169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406232</v>
      </c>
      <c r="U23" s="169">
        <v>427155</v>
      </c>
      <c r="V23" s="169">
        <v>465358</v>
      </c>
      <c r="W23" s="169">
        <f>481078-73111</f>
        <v>407967</v>
      </c>
      <c r="X23" s="169">
        <f>479596</f>
        <v>479596</v>
      </c>
      <c r="Y23" s="169">
        <f>X23*1.04</f>
        <v>498779.84</v>
      </c>
      <c r="Z23" s="169">
        <f t="shared" ref="Z23:AB23" si="37">Y23*1.04</f>
        <v>518731.03360000002</v>
      </c>
      <c r="AA23" s="169">
        <f t="shared" si="37"/>
        <v>539480.27494400006</v>
      </c>
      <c r="AB23" s="169">
        <f t="shared" si="37"/>
        <v>561059.48594176013</v>
      </c>
      <c r="AC23" s="987">
        <f t="shared" si="25"/>
        <v>0.37525703290158297</v>
      </c>
      <c r="AD23" s="8">
        <f t="shared" si="13"/>
        <v>5.871471052761641E-3</v>
      </c>
      <c r="AE23" s="887">
        <v>0.02</v>
      </c>
    </row>
    <row r="24" spans="1:33">
      <c r="B24" s="84" t="s">
        <v>488</v>
      </c>
      <c r="C24" s="118"/>
      <c r="D24" s="118"/>
      <c r="E24" s="118"/>
      <c r="F24" s="118"/>
      <c r="G24" s="118"/>
      <c r="H24" s="118"/>
      <c r="I24" s="118"/>
      <c r="J24" s="104"/>
      <c r="K24" s="104"/>
      <c r="L24" s="169">
        <v>0</v>
      </c>
      <c r="M24" s="169">
        <v>0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f t="shared" ref="S24" si="38">ROUND(R24*(1+$AE23),0)</f>
        <v>0</v>
      </c>
      <c r="T24" s="169">
        <v>115954</v>
      </c>
      <c r="U24" s="169">
        <v>327415</v>
      </c>
      <c r="V24" s="169">
        <v>127844</v>
      </c>
      <c r="W24" s="169">
        <v>129898</v>
      </c>
      <c r="X24" s="169">
        <v>157654</v>
      </c>
      <c r="Y24" s="169">
        <f>X24+6300</f>
        <v>163954</v>
      </c>
      <c r="Z24" s="169">
        <f>Y24+13100</f>
        <v>177054</v>
      </c>
      <c r="AA24" s="169">
        <f>Z24+15225</f>
        <v>192279</v>
      </c>
      <c r="AB24" s="169">
        <f>AA24+17575</f>
        <v>209854</v>
      </c>
      <c r="AC24" s="987">
        <f t="shared" si="25"/>
        <v>0.6155291074535405</v>
      </c>
      <c r="AD24" s="8">
        <f t="shared" si="13"/>
        <v>0.41006466285596233</v>
      </c>
      <c r="AE24" s="887">
        <v>0.03</v>
      </c>
      <c r="AF24" s="122"/>
      <c r="AG24" s="122"/>
    </row>
    <row r="25" spans="1:33" s="122" customFormat="1">
      <c r="A25" s="744"/>
      <c r="B25" s="123" t="s">
        <v>489</v>
      </c>
      <c r="C25" s="124"/>
      <c r="D25" s="124"/>
      <c r="E25" s="124"/>
      <c r="F25" s="124"/>
      <c r="G25" s="124"/>
      <c r="H25" s="124"/>
      <c r="I25" s="124"/>
      <c r="J25" s="104"/>
      <c r="K25" s="104"/>
      <c r="L25" s="169">
        <f t="shared" ref="L25:M25" si="39">SUM(L23:L24)</f>
        <v>0</v>
      </c>
      <c r="M25" s="169">
        <f t="shared" si="39"/>
        <v>0</v>
      </c>
      <c r="N25" s="169">
        <f t="shared" ref="N25:O25" si="40">SUM(N23:N24)</f>
        <v>0</v>
      </c>
      <c r="O25" s="169">
        <f t="shared" si="40"/>
        <v>0</v>
      </c>
      <c r="P25" s="169">
        <f t="shared" ref="P25:T25" si="41">SUM(P23:P24)</f>
        <v>0</v>
      </c>
      <c r="Q25" s="169">
        <f t="shared" si="41"/>
        <v>0</v>
      </c>
      <c r="R25" s="169">
        <f t="shared" si="41"/>
        <v>0</v>
      </c>
      <c r="S25" s="169">
        <f t="shared" si="41"/>
        <v>0</v>
      </c>
      <c r="T25" s="169">
        <f t="shared" si="41"/>
        <v>522186</v>
      </c>
      <c r="U25" s="169">
        <f t="shared" ref="U25:V25" si="42">SUM(U23:U24)</f>
        <v>754570</v>
      </c>
      <c r="V25" s="169">
        <f t="shared" si="42"/>
        <v>593202</v>
      </c>
      <c r="W25" s="169">
        <f t="shared" ref="W25:X25" si="43">SUM(W23:W24)</f>
        <v>537865</v>
      </c>
      <c r="X25" s="169">
        <f t="shared" si="43"/>
        <v>637250</v>
      </c>
      <c r="Y25" s="169">
        <f t="shared" ref="Y25:Z25" si="44">SUM(Y23:Y24)</f>
        <v>662733.84000000008</v>
      </c>
      <c r="Z25" s="169">
        <f t="shared" si="44"/>
        <v>695785.03359999997</v>
      </c>
      <c r="AA25" s="169">
        <f t="shared" ref="AA25:AB25" si="45">SUM(AA23:AA24)</f>
        <v>731759.27494400006</v>
      </c>
      <c r="AB25" s="169">
        <f t="shared" si="45"/>
        <v>770913.48594176013</v>
      </c>
      <c r="AC25" s="987">
        <f t="shared" si="25"/>
        <v>0.43328434819473305</v>
      </c>
      <c r="AD25" s="8">
        <f t="shared" si="13"/>
        <v>4.5960667452189331E-2</v>
      </c>
      <c r="AE25" s="888"/>
    </row>
    <row r="26" spans="1:33" s="122" customFormat="1">
      <c r="A26" s="744"/>
      <c r="B26" s="120" t="s">
        <v>490</v>
      </c>
      <c r="C26" s="612">
        <f t="shared" ref="C26:L26" si="46">C16+C21+C25</f>
        <v>0</v>
      </c>
      <c r="D26" s="612">
        <f t="shared" si="46"/>
        <v>0</v>
      </c>
      <c r="E26" s="612">
        <f t="shared" si="46"/>
        <v>0</v>
      </c>
      <c r="F26" s="612">
        <f t="shared" si="46"/>
        <v>0</v>
      </c>
      <c r="G26" s="612">
        <f t="shared" si="46"/>
        <v>0</v>
      </c>
      <c r="H26" s="612">
        <f t="shared" si="46"/>
        <v>0</v>
      </c>
      <c r="I26" s="612">
        <f t="shared" si="46"/>
        <v>0</v>
      </c>
      <c r="J26" s="612">
        <f t="shared" si="46"/>
        <v>0</v>
      </c>
      <c r="K26" s="612">
        <f t="shared" si="46"/>
        <v>0</v>
      </c>
      <c r="L26" s="612">
        <f t="shared" si="46"/>
        <v>0</v>
      </c>
      <c r="M26" s="612">
        <f t="shared" ref="M26:N26" si="47">M16+M21+M25</f>
        <v>0</v>
      </c>
      <c r="N26" s="612">
        <f t="shared" si="47"/>
        <v>0</v>
      </c>
      <c r="O26" s="612">
        <f>O16+O21+O25</f>
        <v>0</v>
      </c>
      <c r="P26" s="612">
        <f t="shared" ref="P26" si="48">P16+P21+P25</f>
        <v>0</v>
      </c>
      <c r="Q26" s="612">
        <f>Q16+Q21+Q25</f>
        <v>0</v>
      </c>
      <c r="R26" s="612">
        <f t="shared" ref="R26:V26" si="49">R16+R21+R25</f>
        <v>0</v>
      </c>
      <c r="S26" s="612">
        <f t="shared" si="49"/>
        <v>0</v>
      </c>
      <c r="T26" s="612">
        <f t="shared" si="49"/>
        <v>2845153</v>
      </c>
      <c r="U26" s="612">
        <f t="shared" si="49"/>
        <v>3188303</v>
      </c>
      <c r="V26" s="612">
        <f t="shared" si="49"/>
        <v>3220041</v>
      </c>
      <c r="W26" s="612">
        <f t="shared" ref="W26:X26" si="50">W16+W21+W25</f>
        <v>3347473</v>
      </c>
      <c r="X26" s="612">
        <f t="shared" si="50"/>
        <v>4060384</v>
      </c>
      <c r="Y26" s="612">
        <f t="shared" ref="Y26:Z26" si="51">Y16+Y21+Y25</f>
        <v>4263964.3600000003</v>
      </c>
      <c r="Z26" s="612">
        <f t="shared" si="51"/>
        <v>4439480.3344000001</v>
      </c>
      <c r="AA26" s="612">
        <f t="shared" ref="AA26" si="52">AA16+AA21+AA25</f>
        <v>4661876.1877760002</v>
      </c>
      <c r="AB26" s="612">
        <f>AB16+AB21+AB25</f>
        <v>4899249.2352870405</v>
      </c>
      <c r="AC26" s="987">
        <f t="shared" si="25"/>
        <v>0.46356646798556422</v>
      </c>
      <c r="AD26" s="8">
        <f t="shared" si="13"/>
        <v>5.6712597102520024E-2</v>
      </c>
      <c r="AE26" s="782"/>
      <c r="AF26" s="32"/>
      <c r="AG26" s="32"/>
    </row>
    <row r="27" spans="1:33">
      <c r="B27" s="112" t="s">
        <v>206</v>
      </c>
      <c r="C27" s="113"/>
      <c r="D27" s="113"/>
      <c r="E27" s="113"/>
      <c r="F27" s="113"/>
      <c r="G27" s="113"/>
      <c r="H27" s="113"/>
      <c r="I27" s="113"/>
      <c r="J27" s="127"/>
      <c r="L27" s="208" t="s">
        <v>206</v>
      </c>
      <c r="M27" s="208" t="s">
        <v>206</v>
      </c>
      <c r="N27" s="208" t="s">
        <v>206</v>
      </c>
      <c r="O27" s="208" t="s">
        <v>206</v>
      </c>
      <c r="P27" s="208" t="s">
        <v>206</v>
      </c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988"/>
      <c r="AD27" s="111" t="str">
        <f t="shared" ref="AD27:AD58" si="53">IFERROR(AVERAGE((M28-L28)/L28,(N28-M28)/M28,(O28-N28)/N28,(P28-O28)/O28,(Q28-P28)/P28,(R28-Q28)/Q28),"")</f>
        <v/>
      </c>
      <c r="AE27" s="782"/>
    </row>
    <row r="28" spans="1:33">
      <c r="B28" s="112" t="s">
        <v>491</v>
      </c>
      <c r="C28" s="113"/>
      <c r="D28" s="113"/>
      <c r="E28" s="113"/>
      <c r="F28" s="113"/>
      <c r="G28" s="113"/>
      <c r="H28" s="113"/>
      <c r="I28" s="113"/>
      <c r="J28" s="12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988"/>
      <c r="AD28" s="111" t="str">
        <f t="shared" si="53"/>
        <v/>
      </c>
      <c r="AE28" s="887">
        <v>0</v>
      </c>
    </row>
    <row r="29" spans="1:33">
      <c r="B29" s="84" t="s">
        <v>492</v>
      </c>
      <c r="C29" s="124"/>
      <c r="D29" s="124"/>
      <c r="E29" s="124"/>
      <c r="F29" s="124"/>
      <c r="G29" s="124"/>
      <c r="H29" s="124"/>
      <c r="I29" s="124"/>
      <c r="J29" s="131"/>
      <c r="K29" s="104"/>
      <c r="L29" s="169"/>
      <c r="M29" s="169"/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f t="shared" ref="S29:Z31" si="54">ROUND(R29*(1+$AE28),0)</f>
        <v>0</v>
      </c>
      <c r="T29" s="169">
        <v>8414410</v>
      </c>
      <c r="U29" s="169">
        <v>8642606</v>
      </c>
      <c r="V29" s="169">
        <v>9042134</v>
      </c>
      <c r="W29" s="169">
        <f>9180000+190702</f>
        <v>9370702</v>
      </c>
      <c r="X29" s="169">
        <f>10606484+245000+1200</f>
        <v>10852684</v>
      </c>
      <c r="Y29" s="169">
        <f>11094777+257250</f>
        <v>11352027</v>
      </c>
      <c r="Z29" s="169">
        <f>11651317+270847</f>
        <v>11922164</v>
      </c>
      <c r="AA29" s="169">
        <f>12057491+283618</f>
        <v>12341109</v>
      </c>
      <c r="AB29" s="169">
        <f>12538140+297799</f>
        <v>12835939</v>
      </c>
      <c r="AC29" s="987">
        <f t="shared" si="25"/>
        <v>0.36979481366497402</v>
      </c>
      <c r="AD29" s="8">
        <f t="shared" ref="AD29" si="55">IFERROR(AVERAGE((U29-T29)/T29,(V29-U29)/U29,(W29-V29)/V29),"")</f>
        <v>3.656161019617183E-2</v>
      </c>
      <c r="AE29" s="887">
        <v>3.5000000000000003E-2</v>
      </c>
    </row>
    <row r="30" spans="1:33">
      <c r="B30" s="84" t="s">
        <v>493</v>
      </c>
      <c r="C30" s="124"/>
      <c r="D30" s="124"/>
      <c r="E30" s="124"/>
      <c r="F30" s="124"/>
      <c r="G30" s="124"/>
      <c r="H30" s="124"/>
      <c r="I30" s="124"/>
      <c r="J30" s="131"/>
      <c r="K30" s="104"/>
      <c r="L30" s="169"/>
      <c r="M30" s="169"/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f t="shared" si="54"/>
        <v>0</v>
      </c>
      <c r="T30" s="169">
        <v>599956</v>
      </c>
      <c r="U30" s="169">
        <v>617680</v>
      </c>
      <c r="V30" s="169">
        <v>636324</v>
      </c>
      <c r="W30" s="169">
        <v>770411</v>
      </c>
      <c r="X30" s="169">
        <v>808931</v>
      </c>
      <c r="Y30" s="169">
        <v>849378</v>
      </c>
      <c r="Z30" s="169">
        <f>941847</f>
        <v>941847</v>
      </c>
      <c r="AA30" s="169">
        <f>988939</f>
        <v>988939</v>
      </c>
      <c r="AB30" s="169">
        <f>1038386</f>
        <v>1038386</v>
      </c>
      <c r="AC30" s="987">
        <f t="shared" si="25"/>
        <v>0.34783381857216478</v>
      </c>
      <c r="AD30" s="8">
        <f t="shared" ref="AD30" si="56">IFERROR(AVERAGE((U30-T30)/T30,(V30-U30)/U30,(W30-V30)/V30),"")</f>
        <v>9.0149116069378935E-2</v>
      </c>
      <c r="AE30" s="887">
        <v>0.09</v>
      </c>
    </row>
    <row r="31" spans="1:33">
      <c r="B31" s="84" t="s">
        <v>494</v>
      </c>
      <c r="C31" s="124"/>
      <c r="D31" s="124"/>
      <c r="E31" s="124"/>
      <c r="F31" s="124"/>
      <c r="G31" s="124"/>
      <c r="H31" s="124"/>
      <c r="I31" s="124"/>
      <c r="J31" s="131"/>
      <c r="K31" s="104"/>
      <c r="L31" s="169"/>
      <c r="M31" s="169"/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f t="shared" si="54"/>
        <v>0</v>
      </c>
      <c r="T31" s="169">
        <f t="shared" si="54"/>
        <v>0</v>
      </c>
      <c r="U31" s="169">
        <f t="shared" si="54"/>
        <v>0</v>
      </c>
      <c r="V31" s="169">
        <f t="shared" si="54"/>
        <v>0</v>
      </c>
      <c r="W31" s="169">
        <f t="shared" si="54"/>
        <v>0</v>
      </c>
      <c r="X31" s="169">
        <f t="shared" si="54"/>
        <v>0</v>
      </c>
      <c r="Y31" s="169">
        <f t="shared" si="54"/>
        <v>0</v>
      </c>
      <c r="Z31" s="169">
        <f t="shared" si="54"/>
        <v>0</v>
      </c>
      <c r="AA31" s="169">
        <f t="shared" ref="AA31:AB31" si="57">ROUND(Z31*(1+$AE30),0)</f>
        <v>0</v>
      </c>
      <c r="AB31" s="169">
        <f t="shared" si="57"/>
        <v>0</v>
      </c>
      <c r="AC31" s="987"/>
      <c r="AD31" s="111" t="str">
        <f t="shared" si="53"/>
        <v/>
      </c>
      <c r="AE31" s="782"/>
    </row>
    <row r="32" spans="1:33">
      <c r="B32" s="123" t="s">
        <v>495</v>
      </c>
      <c r="C32" s="104">
        <f t="shared" ref="C32:R32" si="58">SUM(C29:C31)</f>
        <v>0</v>
      </c>
      <c r="D32" s="104">
        <f t="shared" si="58"/>
        <v>0</v>
      </c>
      <c r="E32" s="104">
        <f t="shared" si="58"/>
        <v>0</v>
      </c>
      <c r="F32" s="104">
        <f t="shared" si="58"/>
        <v>0</v>
      </c>
      <c r="G32" s="104">
        <f t="shared" si="58"/>
        <v>0</v>
      </c>
      <c r="H32" s="104">
        <f t="shared" si="58"/>
        <v>0</v>
      </c>
      <c r="I32" s="104">
        <f t="shared" si="58"/>
        <v>0</v>
      </c>
      <c r="J32" s="104">
        <f t="shared" si="58"/>
        <v>0</v>
      </c>
      <c r="K32" s="104">
        <f t="shared" si="58"/>
        <v>0</v>
      </c>
      <c r="L32" s="169">
        <f t="shared" si="58"/>
        <v>0</v>
      </c>
      <c r="M32" s="169">
        <f t="shared" si="58"/>
        <v>0</v>
      </c>
      <c r="N32" s="169">
        <f t="shared" si="58"/>
        <v>0</v>
      </c>
      <c r="O32" s="169">
        <f t="shared" si="58"/>
        <v>0</v>
      </c>
      <c r="P32" s="169">
        <f t="shared" ref="P32:Q32" si="59">SUM(P29:P31)</f>
        <v>0</v>
      </c>
      <c r="Q32" s="169">
        <f t="shared" si="59"/>
        <v>0</v>
      </c>
      <c r="R32" s="169">
        <f t="shared" si="58"/>
        <v>0</v>
      </c>
      <c r="S32" s="169">
        <f t="shared" ref="S32:V32" si="60">SUM(S29:S31)</f>
        <v>0</v>
      </c>
      <c r="T32" s="169">
        <f t="shared" si="60"/>
        <v>9014366</v>
      </c>
      <c r="U32" s="169">
        <f t="shared" si="60"/>
        <v>9260286</v>
      </c>
      <c r="V32" s="169">
        <f t="shared" si="60"/>
        <v>9678458</v>
      </c>
      <c r="W32" s="169">
        <f t="shared" ref="W32:X32" si="61">SUM(W29:W31)</f>
        <v>10141113</v>
      </c>
      <c r="X32" s="169">
        <f t="shared" si="61"/>
        <v>11661615</v>
      </c>
      <c r="Y32" s="169">
        <f t="shared" ref="Y32:Z32" si="62">SUM(Y29:Y31)</f>
        <v>12201405</v>
      </c>
      <c r="Z32" s="169">
        <f t="shared" si="62"/>
        <v>12864011</v>
      </c>
      <c r="AA32" s="169">
        <f t="shared" ref="AA32:AB32" si="63">SUM(AA29:AA31)</f>
        <v>13330048</v>
      </c>
      <c r="AB32" s="169">
        <f t="shared" si="63"/>
        <v>13874325</v>
      </c>
      <c r="AC32" s="987">
        <f t="shared" si="25"/>
        <v>0.36812645712556402</v>
      </c>
      <c r="AD32" s="111" t="str">
        <f t="shared" si="53"/>
        <v/>
      </c>
      <c r="AE32" s="782"/>
    </row>
    <row r="33" spans="2:32">
      <c r="B33" s="115"/>
      <c r="C33" s="113"/>
      <c r="D33" s="113"/>
      <c r="E33" s="113"/>
      <c r="F33" s="113"/>
      <c r="G33" s="113"/>
      <c r="H33" s="113"/>
      <c r="I33" s="113"/>
      <c r="J33" s="127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987"/>
      <c r="AD33" s="8" t="str">
        <f t="shared" si="53"/>
        <v/>
      </c>
      <c r="AE33" s="887">
        <v>0</v>
      </c>
      <c r="AF33" s="111"/>
    </row>
    <row r="34" spans="2:32">
      <c r="B34" s="84" t="s">
        <v>496</v>
      </c>
      <c r="C34" s="118"/>
      <c r="D34" s="118"/>
      <c r="E34" s="118"/>
      <c r="F34" s="118"/>
      <c r="G34" s="118"/>
      <c r="H34" s="118"/>
      <c r="I34" s="118"/>
      <c r="J34" s="104"/>
      <c r="K34" s="104"/>
      <c r="L34" s="169">
        <v>0</v>
      </c>
      <c r="M34" s="169">
        <v>0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f t="shared" ref="S34:Z35" si="64">ROUND(R34*(1+$AE33),0)</f>
        <v>0</v>
      </c>
      <c r="T34" s="169">
        <v>2804913</v>
      </c>
      <c r="U34" s="169">
        <v>3026221</v>
      </c>
      <c r="V34" s="169">
        <v>2826598</v>
      </c>
      <c r="W34" s="169">
        <v>3013899</v>
      </c>
      <c r="X34" s="169">
        <f>3123111</f>
        <v>3123111</v>
      </c>
      <c r="Y34" s="169">
        <f>X34*1.05</f>
        <v>3279266.5500000003</v>
      </c>
      <c r="Z34" s="169">
        <f t="shared" ref="Z34:AB34" si="65">Y34*1.05</f>
        <v>3443229.8775000004</v>
      </c>
      <c r="AA34" s="169">
        <f t="shared" si="65"/>
        <v>3615391.3713750006</v>
      </c>
      <c r="AB34" s="169">
        <f t="shared" si="65"/>
        <v>3796160.9399437509</v>
      </c>
      <c r="AC34" s="987">
        <f t="shared" si="25"/>
        <v>0.25955147798375156</v>
      </c>
      <c r="AD34" s="8">
        <f>IFERROR(AVERAGE((U34-T34)/T34,(V34-U34)/U34,(W34-V34)/V34),"")</f>
        <v>2.6399812361627004E-2</v>
      </c>
      <c r="AE34" s="887">
        <v>0.03</v>
      </c>
      <c r="AF34" s="111"/>
    </row>
    <row r="35" spans="2:32">
      <c r="B35" s="84" t="s">
        <v>497</v>
      </c>
      <c r="C35" s="118"/>
      <c r="D35" s="118"/>
      <c r="E35" s="118"/>
      <c r="F35" s="118"/>
      <c r="G35" s="118"/>
      <c r="H35" s="118"/>
      <c r="I35" s="118"/>
      <c r="J35" s="104"/>
      <c r="K35" s="104"/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f t="shared" si="64"/>
        <v>0</v>
      </c>
      <c r="T35" s="169">
        <f t="shared" si="64"/>
        <v>0</v>
      </c>
      <c r="U35" s="169">
        <f t="shared" si="64"/>
        <v>0</v>
      </c>
      <c r="V35" s="169">
        <f t="shared" si="64"/>
        <v>0</v>
      </c>
      <c r="W35" s="169">
        <f t="shared" si="64"/>
        <v>0</v>
      </c>
      <c r="X35" s="169">
        <f t="shared" si="64"/>
        <v>0</v>
      </c>
      <c r="Y35" s="169">
        <f t="shared" si="64"/>
        <v>0</v>
      </c>
      <c r="Z35" s="169">
        <f t="shared" si="64"/>
        <v>0</v>
      </c>
      <c r="AA35" s="169">
        <f t="shared" ref="AA35:AB35" si="66">ROUND(Z35*(1+$AE34),0)</f>
        <v>0</v>
      </c>
      <c r="AB35" s="169">
        <f t="shared" si="66"/>
        <v>0</v>
      </c>
      <c r="AC35" s="987"/>
      <c r="AD35" s="8" t="str">
        <f t="shared" si="53"/>
        <v/>
      </c>
      <c r="AE35" s="785" t="s">
        <v>262</v>
      </c>
      <c r="AF35" s="111"/>
    </row>
    <row r="36" spans="2:32">
      <c r="B36" s="84" t="s">
        <v>498</v>
      </c>
      <c r="C36" s="169">
        <f>+Debt!C103+Debt!C109</f>
        <v>0</v>
      </c>
      <c r="D36" s="169">
        <f>+Debt!D103+Debt!D109</f>
        <v>0</v>
      </c>
      <c r="E36" s="169">
        <f>+Debt!E103+Debt!E109</f>
        <v>0</v>
      </c>
      <c r="F36" s="169">
        <f>+Debt!F103+Debt!F109</f>
        <v>0</v>
      </c>
      <c r="G36" s="169">
        <f>+Debt!G103+Debt!G109</f>
        <v>0</v>
      </c>
      <c r="H36" s="169">
        <f>+Debt!H103+Debt!H109</f>
        <v>0</v>
      </c>
      <c r="I36" s="169">
        <f>+Debt!I103+Debt!I109</f>
        <v>0</v>
      </c>
      <c r="J36" s="169">
        <f>+Debt!J103+Debt!J109</f>
        <v>0</v>
      </c>
      <c r="K36" s="169">
        <f>+Debt!K103+Debt!K109</f>
        <v>0</v>
      </c>
      <c r="L36" s="169">
        <f>+Debt!L103+Debt!L109</f>
        <v>0</v>
      </c>
      <c r="M36" s="169">
        <f>+Debt!M103+Debt!M109</f>
        <v>0</v>
      </c>
      <c r="N36" s="169">
        <f>+Debt!N103+Debt!N109</f>
        <v>0</v>
      </c>
      <c r="O36" s="169">
        <f>+Debt!O103+Debt!O109</f>
        <v>0</v>
      </c>
      <c r="P36" s="169">
        <f>+Debt!P103+Debt!P109</f>
        <v>0</v>
      </c>
      <c r="Q36" s="169">
        <f>+Debt!Q103+Debt!Q109</f>
        <v>0</v>
      </c>
      <c r="R36" s="169">
        <f>+Debt!R103+Debt!R109</f>
        <v>0</v>
      </c>
      <c r="S36" s="169">
        <f>+Debt!S103+Debt!S109</f>
        <v>0</v>
      </c>
      <c r="T36" s="169">
        <f>+Debt!T103+Debt!T109</f>
        <v>0</v>
      </c>
      <c r="U36" s="169">
        <f>+Debt!U103+Debt!U109</f>
        <v>558412</v>
      </c>
      <c r="V36" s="169">
        <f>+Debt!V103+Debt!V109</f>
        <v>524288</v>
      </c>
      <c r="W36" s="169">
        <f>+Debt!W103+Debt!W109</f>
        <v>554112</v>
      </c>
      <c r="X36" s="169">
        <f>+Debt!X103+Debt!X109</f>
        <v>563585</v>
      </c>
      <c r="Y36" s="169">
        <f>+Debt!Y103+Debt!Y109</f>
        <v>563585</v>
      </c>
      <c r="Z36" s="169">
        <f>+Debt!Z103+Debt!Z109</f>
        <v>563585</v>
      </c>
      <c r="AA36" s="169">
        <f>+Debt!AA103+Debt!AA109</f>
        <v>563585</v>
      </c>
      <c r="AB36" s="169">
        <f>+Debt!AB103+Debt!AB109</f>
        <v>563585</v>
      </c>
      <c r="AC36" s="987">
        <f t="shared" si="25"/>
        <v>1.7095821783321696E-2</v>
      </c>
      <c r="AD36" s="8" t="str">
        <f t="shared" si="53"/>
        <v/>
      </c>
      <c r="AE36" s="782"/>
    </row>
    <row r="37" spans="2:32">
      <c r="B37" s="123" t="s">
        <v>499</v>
      </c>
      <c r="C37" s="169">
        <f t="shared" ref="C37:K37" si="67">SUM(C34:C36)</f>
        <v>0</v>
      </c>
      <c r="D37" s="169">
        <f t="shared" si="67"/>
        <v>0</v>
      </c>
      <c r="E37" s="169">
        <f t="shared" si="67"/>
        <v>0</v>
      </c>
      <c r="F37" s="169">
        <f t="shared" si="67"/>
        <v>0</v>
      </c>
      <c r="G37" s="169">
        <f t="shared" si="67"/>
        <v>0</v>
      </c>
      <c r="H37" s="169">
        <f t="shared" si="67"/>
        <v>0</v>
      </c>
      <c r="I37" s="169">
        <f t="shared" si="67"/>
        <v>0</v>
      </c>
      <c r="J37" s="169">
        <f t="shared" si="67"/>
        <v>0</v>
      </c>
      <c r="K37" s="169">
        <f t="shared" si="67"/>
        <v>0</v>
      </c>
      <c r="L37" s="169">
        <f>SUM(L34:L36)</f>
        <v>0</v>
      </c>
      <c r="M37" s="169">
        <f t="shared" ref="M37" si="68">SUM(M34:M36)</f>
        <v>0</v>
      </c>
      <c r="N37" s="169">
        <f t="shared" ref="N37:R37" si="69">SUM(N34:N36)</f>
        <v>0</v>
      </c>
      <c r="O37" s="169">
        <f t="shared" si="69"/>
        <v>0</v>
      </c>
      <c r="P37" s="169">
        <f t="shared" si="69"/>
        <v>0</v>
      </c>
      <c r="Q37" s="169">
        <f t="shared" si="69"/>
        <v>0</v>
      </c>
      <c r="R37" s="169">
        <f t="shared" si="69"/>
        <v>0</v>
      </c>
      <c r="S37" s="169">
        <f t="shared" ref="S37:V37" si="70">SUM(S34:S36)</f>
        <v>0</v>
      </c>
      <c r="T37" s="169">
        <f t="shared" si="70"/>
        <v>2804913</v>
      </c>
      <c r="U37" s="169">
        <f t="shared" si="70"/>
        <v>3584633</v>
      </c>
      <c r="V37" s="169">
        <f t="shared" si="70"/>
        <v>3350886</v>
      </c>
      <c r="W37" s="169">
        <f t="shared" ref="W37:X37" si="71">SUM(W34:W36)</f>
        <v>3568011</v>
      </c>
      <c r="X37" s="169">
        <f t="shared" si="71"/>
        <v>3686696</v>
      </c>
      <c r="Y37" s="169">
        <f t="shared" ref="Y37:Z37" si="72">SUM(Y34:Y36)</f>
        <v>3842851.5500000003</v>
      </c>
      <c r="Z37" s="169">
        <f t="shared" si="72"/>
        <v>4006814.8775000004</v>
      </c>
      <c r="AA37" s="169">
        <f t="shared" ref="AA37:AB37" si="73">SUM(AA34:AA36)</f>
        <v>4178976.3713750006</v>
      </c>
      <c r="AB37" s="169">
        <f t="shared" si="73"/>
        <v>4359745.9399437513</v>
      </c>
      <c r="AC37" s="987">
        <f t="shared" si="25"/>
        <v>0.2218981219350924</v>
      </c>
      <c r="AD37" s="111" t="str">
        <f t="shared" si="53"/>
        <v/>
      </c>
      <c r="AE37" s="782"/>
    </row>
    <row r="38" spans="2:32">
      <c r="B38" s="112"/>
      <c r="C38" s="113"/>
      <c r="D38" s="113"/>
      <c r="E38" s="113"/>
      <c r="F38" s="113"/>
      <c r="G38" s="113"/>
      <c r="H38" s="113"/>
      <c r="I38" s="113"/>
      <c r="J38" s="127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987"/>
      <c r="AD38" s="8" t="str">
        <f t="shared" si="53"/>
        <v/>
      </c>
      <c r="AF38" s="111"/>
    </row>
    <row r="39" spans="2:32">
      <c r="B39" s="84" t="s">
        <v>500</v>
      </c>
      <c r="C39" s="118"/>
      <c r="D39" s="118"/>
      <c r="E39" s="118"/>
      <c r="F39" s="118"/>
      <c r="G39" s="118"/>
      <c r="H39" s="118"/>
      <c r="I39" s="118"/>
      <c r="J39" s="104"/>
      <c r="K39" s="104"/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f>ROUND(R39*(1+$AE39),0)</f>
        <v>0</v>
      </c>
      <c r="T39" s="169">
        <v>137950</v>
      </c>
      <c r="U39" s="169">
        <v>153547</v>
      </c>
      <c r="V39" s="169">
        <v>139953</v>
      </c>
      <c r="W39" s="169">
        <v>176743</v>
      </c>
      <c r="X39" s="169">
        <f>226730</f>
        <v>226730</v>
      </c>
      <c r="Y39" s="169">
        <f t="shared" ref="X39:AB40" si="74">ROUND(X39*(1+$AE39),0)</f>
        <v>249403</v>
      </c>
      <c r="Z39" s="169">
        <f t="shared" si="74"/>
        <v>274343</v>
      </c>
      <c r="AA39" s="169">
        <f t="shared" si="74"/>
        <v>301777</v>
      </c>
      <c r="AB39" s="169">
        <f t="shared" si="74"/>
        <v>331955</v>
      </c>
      <c r="AC39" s="987">
        <f t="shared" si="25"/>
        <v>0.87817905093836823</v>
      </c>
      <c r="AD39" s="8">
        <f>IFERROR(AVERAGE((U39-T39)/T39,(V39-U39)/U39,(W39-V39)/V39),"")</f>
        <v>9.5801171997937321E-2</v>
      </c>
      <c r="AE39" s="887">
        <v>0.1</v>
      </c>
      <c r="AF39" s="111"/>
    </row>
    <row r="40" spans="2:32">
      <c r="B40" s="84" t="s">
        <v>497</v>
      </c>
      <c r="C40" s="118"/>
      <c r="D40" s="118"/>
      <c r="E40" s="118"/>
      <c r="F40" s="118"/>
      <c r="G40" s="118"/>
      <c r="H40" s="118"/>
      <c r="I40" s="118"/>
      <c r="J40" s="104"/>
      <c r="K40" s="104"/>
      <c r="L40" s="169">
        <v>0</v>
      </c>
      <c r="M40" s="169">
        <v>0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f>ROUND(R40*(1+$AE40),0)</f>
        <v>0</v>
      </c>
      <c r="T40" s="169">
        <f>ROUND(S40*(1+$AE40),0)</f>
        <v>0</v>
      </c>
      <c r="U40" s="169">
        <f>ROUND(T40*(1+$AE40),0)</f>
        <v>0</v>
      </c>
      <c r="V40" s="169">
        <f>ROUND(U40*(1+$AE40),0)</f>
        <v>0</v>
      </c>
      <c r="W40" s="169">
        <f>ROUND(V40*(1+$AE40),0)</f>
        <v>0</v>
      </c>
      <c r="X40" s="169">
        <f t="shared" si="74"/>
        <v>0</v>
      </c>
      <c r="Y40" s="169">
        <f t="shared" si="74"/>
        <v>0</v>
      </c>
      <c r="Z40" s="169">
        <f t="shared" si="74"/>
        <v>0</v>
      </c>
      <c r="AA40" s="169">
        <f t="shared" si="74"/>
        <v>0</v>
      </c>
      <c r="AB40" s="169">
        <f t="shared" si="74"/>
        <v>0</v>
      </c>
      <c r="AC40" s="987"/>
      <c r="AD40" s="8" t="str">
        <f t="shared" si="53"/>
        <v/>
      </c>
      <c r="AE40" s="887">
        <v>0</v>
      </c>
      <c r="AF40" s="111"/>
    </row>
    <row r="41" spans="2:32">
      <c r="B41" s="84" t="s">
        <v>498</v>
      </c>
      <c r="C41" s="169">
        <f>+Debt!C104+Debt!C110</f>
        <v>0</v>
      </c>
      <c r="D41" s="169">
        <f>+Debt!D104+Debt!D110</f>
        <v>0</v>
      </c>
      <c r="E41" s="169">
        <f>+Debt!E104+Debt!E110</f>
        <v>0</v>
      </c>
      <c r="F41" s="169">
        <f>+Debt!F104+Debt!F110</f>
        <v>0</v>
      </c>
      <c r="G41" s="169">
        <f>+Debt!G104+Debt!G110</f>
        <v>0</v>
      </c>
      <c r="H41" s="169">
        <f>+Debt!H104+Debt!H110</f>
        <v>0</v>
      </c>
      <c r="I41" s="169">
        <f>+Debt!I104+Debt!I110</f>
        <v>0</v>
      </c>
      <c r="J41" s="169">
        <f>+Debt!J104+Debt!J110</f>
        <v>0</v>
      </c>
      <c r="K41" s="169">
        <f>+Debt!K104+Debt!K110</f>
        <v>0</v>
      </c>
      <c r="L41" s="169">
        <f>+Debt!L104+Debt!L110</f>
        <v>0</v>
      </c>
      <c r="M41" s="169">
        <f>+Debt!M104+Debt!M110</f>
        <v>0</v>
      </c>
      <c r="N41" s="169">
        <f>+Debt!N104+Debt!N110</f>
        <v>0</v>
      </c>
      <c r="O41" s="169">
        <f>+Debt!O104+Debt!O110</f>
        <v>0</v>
      </c>
      <c r="P41" s="169">
        <f>+Debt!P104+Debt!P110</f>
        <v>0</v>
      </c>
      <c r="Q41" s="169">
        <f>+Debt!Q104+Debt!Q110</f>
        <v>0</v>
      </c>
      <c r="R41" s="169">
        <f>+Debt!R104+Debt!R110</f>
        <v>0</v>
      </c>
      <c r="S41" s="169">
        <f>+Debt!S104+Debt!S110</f>
        <v>0</v>
      </c>
      <c r="T41" s="169">
        <f>+Debt!T104+Debt!T110</f>
        <v>0</v>
      </c>
      <c r="U41" s="169">
        <f>+Debt!U104+Debt!U110</f>
        <v>0</v>
      </c>
      <c r="V41" s="169">
        <f>+Debt!V104+Debt!V110</f>
        <v>0</v>
      </c>
      <c r="W41" s="169">
        <f>+Debt!W104+Debt!W110</f>
        <v>0</v>
      </c>
      <c r="X41" s="169">
        <f>+Debt!X104+Debt!X110</f>
        <v>0</v>
      </c>
      <c r="Y41" s="169">
        <f>+Debt!Y104+Debt!Y110</f>
        <v>0</v>
      </c>
      <c r="Z41" s="169">
        <f>+Debt!AA104+Debt!AA110</f>
        <v>0</v>
      </c>
      <c r="AA41" s="169">
        <f>+Debt!AB104+Debt!AB110</f>
        <v>0</v>
      </c>
      <c r="AB41" s="169">
        <f>+Debt!AC104+Debt!AC110</f>
        <v>0</v>
      </c>
      <c r="AC41" s="987"/>
      <c r="AD41" s="8" t="str">
        <f t="shared" si="53"/>
        <v/>
      </c>
      <c r="AE41" s="785" t="s">
        <v>262</v>
      </c>
    </row>
    <row r="42" spans="2:32">
      <c r="B42" s="123" t="s">
        <v>501</v>
      </c>
      <c r="C42" s="169">
        <f t="shared" ref="C42:K42" si="75">SUM(C39:C41)</f>
        <v>0</v>
      </c>
      <c r="D42" s="169">
        <f t="shared" si="75"/>
        <v>0</v>
      </c>
      <c r="E42" s="169">
        <f t="shared" si="75"/>
        <v>0</v>
      </c>
      <c r="F42" s="169">
        <f t="shared" si="75"/>
        <v>0</v>
      </c>
      <c r="G42" s="169">
        <f t="shared" si="75"/>
        <v>0</v>
      </c>
      <c r="H42" s="169">
        <f t="shared" si="75"/>
        <v>0</v>
      </c>
      <c r="I42" s="169">
        <f t="shared" si="75"/>
        <v>0</v>
      </c>
      <c r="J42" s="169">
        <f t="shared" si="75"/>
        <v>0</v>
      </c>
      <c r="K42" s="169">
        <f t="shared" si="75"/>
        <v>0</v>
      </c>
      <c r="L42" s="169">
        <f t="shared" ref="L42:M42" si="76">SUM(L39:L41)</f>
        <v>0</v>
      </c>
      <c r="M42" s="169">
        <f t="shared" si="76"/>
        <v>0</v>
      </c>
      <c r="N42" s="169">
        <f t="shared" ref="N42:O42" si="77">SUM(N39:N41)</f>
        <v>0</v>
      </c>
      <c r="O42" s="169">
        <f t="shared" si="77"/>
        <v>0</v>
      </c>
      <c r="P42" s="169">
        <f t="shared" ref="P42" si="78">SUM(P39:P41)</f>
        <v>0</v>
      </c>
      <c r="Q42" s="169">
        <f t="shared" ref="Q42:R42" si="79">SUM(Q39:Q41)</f>
        <v>0</v>
      </c>
      <c r="R42" s="169">
        <f t="shared" si="79"/>
        <v>0</v>
      </c>
      <c r="S42" s="169">
        <f t="shared" ref="S42:V42" si="80">SUM(S39:S41)</f>
        <v>0</v>
      </c>
      <c r="T42" s="169">
        <f t="shared" si="80"/>
        <v>137950</v>
      </c>
      <c r="U42" s="169">
        <f t="shared" si="80"/>
        <v>153547</v>
      </c>
      <c r="V42" s="169">
        <f t="shared" si="80"/>
        <v>139953</v>
      </c>
      <c r="W42" s="169">
        <f t="shared" ref="W42:X42" si="81">SUM(W39:W41)</f>
        <v>176743</v>
      </c>
      <c r="X42" s="169">
        <f t="shared" si="81"/>
        <v>226730</v>
      </c>
      <c r="Y42" s="169">
        <f t="shared" ref="Y42:Z42" si="82">SUM(Y39:Y41)</f>
        <v>249403</v>
      </c>
      <c r="Z42" s="169">
        <f t="shared" si="82"/>
        <v>274343</v>
      </c>
      <c r="AA42" s="169">
        <f t="shared" ref="AA42:AB42" si="83">SUM(AA39:AA41)</f>
        <v>301777</v>
      </c>
      <c r="AB42" s="169">
        <f t="shared" si="83"/>
        <v>331955</v>
      </c>
      <c r="AC42" s="987">
        <f t="shared" si="25"/>
        <v>0.87817905093836823</v>
      </c>
      <c r="AD42" s="111" t="str">
        <f t="shared" si="53"/>
        <v/>
      </c>
      <c r="AE42" s="782"/>
    </row>
    <row r="43" spans="2:32">
      <c r="B43" s="112"/>
      <c r="C43" s="113"/>
      <c r="D43" s="113"/>
      <c r="E43" s="113"/>
      <c r="F43" s="113"/>
      <c r="G43" s="113"/>
      <c r="H43" s="113"/>
      <c r="I43" s="113"/>
      <c r="J43" s="127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987"/>
      <c r="AD43" s="8" t="str">
        <f t="shared" si="53"/>
        <v/>
      </c>
    </row>
    <row r="44" spans="2:32">
      <c r="B44" s="84" t="s">
        <v>502</v>
      </c>
      <c r="C44" s="118"/>
      <c r="D44" s="118"/>
      <c r="E44" s="118"/>
      <c r="F44" s="118"/>
      <c r="G44" s="118"/>
      <c r="H44" s="118"/>
      <c r="I44" s="104"/>
      <c r="J44" s="104"/>
      <c r="K44" s="104"/>
      <c r="L44" s="169">
        <v>0</v>
      </c>
      <c r="M44" s="169">
        <v>0</v>
      </c>
      <c r="N44" s="169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f>ROUND(R44*(1+$AE44),0)</f>
        <v>0</v>
      </c>
      <c r="T44" s="169">
        <v>969035</v>
      </c>
      <c r="U44" s="169">
        <v>1064232</v>
      </c>
      <c r="V44" s="169">
        <v>1332200</v>
      </c>
      <c r="W44" s="169">
        <v>1353780</v>
      </c>
      <c r="X44" s="169">
        <v>1395482</v>
      </c>
      <c r="Y44" s="169">
        <f t="shared" ref="X44:AB45" si="84">ROUND(X44*(1+$AE44),0)</f>
        <v>1535030</v>
      </c>
      <c r="Z44" s="169">
        <f t="shared" si="84"/>
        <v>1688533</v>
      </c>
      <c r="AA44" s="169">
        <f t="shared" si="84"/>
        <v>1857386</v>
      </c>
      <c r="AB44" s="169">
        <f t="shared" si="84"/>
        <v>2043125</v>
      </c>
      <c r="AC44" s="987">
        <f t="shared" si="25"/>
        <v>0.50920016546263058</v>
      </c>
      <c r="AD44" s="8">
        <f>IFERROR(AVERAGE((U44-T44)/T44,(V44-U44)/U44,(W44-V44)/V44),"")</f>
        <v>0.12207748670066036</v>
      </c>
      <c r="AE44" s="887">
        <v>0.1</v>
      </c>
      <c r="AF44" s="22"/>
    </row>
    <row r="45" spans="2:32">
      <c r="B45" s="84" t="s">
        <v>503</v>
      </c>
      <c r="C45" s="118"/>
      <c r="D45" s="118"/>
      <c r="E45" s="118"/>
      <c r="F45" s="118"/>
      <c r="G45" s="118"/>
      <c r="H45" s="118"/>
      <c r="I45" s="104"/>
      <c r="J45" s="104"/>
      <c r="K45" s="104"/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f>ROUND(R45*(1+$AE45),0)</f>
        <v>0</v>
      </c>
      <c r="T45" s="169">
        <f>ROUND(S45*(1+$AE45),0)</f>
        <v>0</v>
      </c>
      <c r="U45" s="169">
        <f>ROUND(T45*(1+$AE45),0)</f>
        <v>0</v>
      </c>
      <c r="V45" s="169">
        <f>ROUND(U45*(1+$AE45),0)</f>
        <v>0</v>
      </c>
      <c r="W45" s="169">
        <f>ROUND(V45*(1+$AE45),0)</f>
        <v>0</v>
      </c>
      <c r="X45" s="169">
        <f t="shared" si="84"/>
        <v>0</v>
      </c>
      <c r="Y45" s="169">
        <f t="shared" si="84"/>
        <v>0</v>
      </c>
      <c r="Z45" s="169">
        <f t="shared" si="84"/>
        <v>0</v>
      </c>
      <c r="AA45" s="169">
        <f t="shared" si="84"/>
        <v>0</v>
      </c>
      <c r="AB45" s="169">
        <f t="shared" si="84"/>
        <v>0</v>
      </c>
      <c r="AC45" s="987"/>
      <c r="AD45" s="8" t="str">
        <f t="shared" si="53"/>
        <v/>
      </c>
      <c r="AE45" s="887">
        <v>0</v>
      </c>
      <c r="AF45" s="22"/>
    </row>
    <row r="46" spans="2:32">
      <c r="B46" s="84" t="s">
        <v>504</v>
      </c>
      <c r="C46" s="169">
        <f>+Debt!C105+Debt!C111</f>
        <v>0</v>
      </c>
      <c r="D46" s="169">
        <f>+Debt!D105+Debt!D111</f>
        <v>0</v>
      </c>
      <c r="E46" s="169">
        <f>+Debt!E105+Debt!E111</f>
        <v>0</v>
      </c>
      <c r="F46" s="169">
        <f>+Debt!F105+Debt!F111</f>
        <v>0</v>
      </c>
      <c r="G46" s="169">
        <f>+Debt!G105+Debt!G111</f>
        <v>0</v>
      </c>
      <c r="H46" s="169">
        <f>+Debt!H105+Debt!H111</f>
        <v>0</v>
      </c>
      <c r="I46" s="169">
        <f>+Debt!I105+Debt!I111</f>
        <v>0</v>
      </c>
      <c r="J46" s="169">
        <f>+Debt!J105+Debt!J111</f>
        <v>0</v>
      </c>
      <c r="K46" s="169">
        <f>+Debt!K105+Debt!K111</f>
        <v>0</v>
      </c>
      <c r="L46" s="169">
        <f>+Debt!L105+Debt!L111</f>
        <v>0</v>
      </c>
      <c r="M46" s="169">
        <f>+Debt!M105+Debt!M111</f>
        <v>0</v>
      </c>
      <c r="N46" s="169">
        <f>+Debt!N105+Debt!N111</f>
        <v>0</v>
      </c>
      <c r="O46" s="169">
        <f>+Debt!O105+Debt!O111</f>
        <v>0</v>
      </c>
      <c r="P46" s="169">
        <f>+Debt!P105+Debt!P111</f>
        <v>0</v>
      </c>
      <c r="Q46" s="169">
        <f>+Debt!Q105+Debt!Q111</f>
        <v>0</v>
      </c>
      <c r="R46" s="169">
        <f>+Debt!R105+Debt!R111</f>
        <v>0</v>
      </c>
      <c r="S46" s="169">
        <f>+Debt!S105+Debt!S111</f>
        <v>0</v>
      </c>
      <c r="T46" s="169">
        <f>+Debt!T105+Debt!T111</f>
        <v>0</v>
      </c>
      <c r="U46" s="169">
        <f>+Debt!U105+Debt!U111</f>
        <v>0</v>
      </c>
      <c r="V46" s="169">
        <f>+Debt!V105+Debt!V111</f>
        <v>239782</v>
      </c>
      <c r="W46" s="169">
        <f>+Debt!W105+Debt!W111</f>
        <v>562071</v>
      </c>
      <c r="X46" s="169">
        <f>+Debt!X105+Debt!X111</f>
        <v>593731</v>
      </c>
      <c r="Y46" s="169">
        <f>+Debt!Y105+Debt!Y111</f>
        <v>706829.82500000007</v>
      </c>
      <c r="Z46" s="169">
        <f>+Debt!Z105+Debt!Z111</f>
        <v>734571.03625</v>
      </c>
      <c r="AA46" s="169">
        <f>+Debt!AA105+Debt!AA111</f>
        <v>734400.71125000005</v>
      </c>
      <c r="AB46" s="169">
        <f>+Debt!AB105+Debt!AB111</f>
        <v>734381.78625</v>
      </c>
      <c r="AC46" s="987">
        <f t="shared" si="25"/>
        <v>0.30656409288150432</v>
      </c>
      <c r="AD46" s="8" t="str">
        <f t="shared" si="53"/>
        <v/>
      </c>
      <c r="AE46" s="785" t="s">
        <v>262</v>
      </c>
    </row>
    <row r="47" spans="2:32">
      <c r="B47" s="128" t="s">
        <v>505</v>
      </c>
      <c r="C47" s="169">
        <f t="shared" ref="C47:L47" si="85">SUM(C44:C46)</f>
        <v>0</v>
      </c>
      <c r="D47" s="169">
        <f t="shared" si="85"/>
        <v>0</v>
      </c>
      <c r="E47" s="169">
        <f t="shared" si="85"/>
        <v>0</v>
      </c>
      <c r="F47" s="169">
        <f t="shared" si="85"/>
        <v>0</v>
      </c>
      <c r="G47" s="169">
        <f t="shared" si="85"/>
        <v>0</v>
      </c>
      <c r="H47" s="169">
        <f t="shared" si="85"/>
        <v>0</v>
      </c>
      <c r="I47" s="169">
        <f t="shared" si="85"/>
        <v>0</v>
      </c>
      <c r="J47" s="169">
        <f t="shared" si="85"/>
        <v>0</v>
      </c>
      <c r="K47" s="169">
        <f t="shared" si="85"/>
        <v>0</v>
      </c>
      <c r="L47" s="169">
        <f t="shared" si="85"/>
        <v>0</v>
      </c>
      <c r="M47" s="169">
        <f t="shared" ref="M47:R47" si="86">SUM(M44:M46)</f>
        <v>0</v>
      </c>
      <c r="N47" s="169">
        <f t="shared" si="86"/>
        <v>0</v>
      </c>
      <c r="O47" s="169">
        <f t="shared" si="86"/>
        <v>0</v>
      </c>
      <c r="P47" s="169">
        <f t="shared" si="86"/>
        <v>0</v>
      </c>
      <c r="Q47" s="169">
        <f t="shared" si="86"/>
        <v>0</v>
      </c>
      <c r="R47" s="169">
        <f t="shared" si="86"/>
        <v>0</v>
      </c>
      <c r="S47" s="169">
        <f t="shared" ref="S47:V47" si="87">SUM(S44:S46)</f>
        <v>0</v>
      </c>
      <c r="T47" s="169">
        <f t="shared" si="87"/>
        <v>969035</v>
      </c>
      <c r="U47" s="169">
        <f t="shared" si="87"/>
        <v>1064232</v>
      </c>
      <c r="V47" s="169">
        <f t="shared" si="87"/>
        <v>1571982</v>
      </c>
      <c r="W47" s="169">
        <f t="shared" ref="W47:X47" si="88">SUM(W44:W46)</f>
        <v>1915851</v>
      </c>
      <c r="X47" s="169">
        <f t="shared" si="88"/>
        <v>1989213</v>
      </c>
      <c r="Y47" s="169">
        <f t="shared" ref="Y47:Z47" si="89">SUM(Y44:Y46)</f>
        <v>2241859.8250000002</v>
      </c>
      <c r="Z47" s="169">
        <f t="shared" si="89"/>
        <v>2423104.0362499999</v>
      </c>
      <c r="AA47" s="169">
        <f t="shared" ref="AA47:AB47" si="90">SUM(AA44:AA46)</f>
        <v>2591786.7112500002</v>
      </c>
      <c r="AB47" s="169">
        <f t="shared" si="90"/>
        <v>2777506.7862499999</v>
      </c>
      <c r="AC47" s="987">
        <f t="shared" si="25"/>
        <v>0.44975093900830476</v>
      </c>
      <c r="AD47" s="111" t="str">
        <f t="shared" si="53"/>
        <v/>
      </c>
      <c r="AE47" s="782"/>
      <c r="AF47" s="22"/>
    </row>
    <row r="48" spans="2:32">
      <c r="B48" s="115"/>
      <c r="C48" s="114"/>
      <c r="D48" s="114"/>
      <c r="E48" s="114"/>
      <c r="F48" s="114"/>
      <c r="G48" s="114"/>
      <c r="H48" s="114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987"/>
      <c r="AD48" s="8" t="str">
        <f t="shared" si="53"/>
        <v/>
      </c>
      <c r="AF48" s="22"/>
    </row>
    <row r="49" spans="1:33">
      <c r="B49" s="128" t="s">
        <v>506</v>
      </c>
      <c r="C49" s="118"/>
      <c r="D49" s="118"/>
      <c r="E49" s="118"/>
      <c r="F49" s="118"/>
      <c r="G49" s="118"/>
      <c r="H49" s="118"/>
      <c r="I49" s="104"/>
      <c r="J49" s="104"/>
      <c r="K49" s="104"/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f>ROUND(R49*(1+$AE49),0)</f>
        <v>0</v>
      </c>
      <c r="T49" s="169">
        <f>ROUND(S49*(1+$AE49),0)</f>
        <v>0</v>
      </c>
      <c r="U49" s="169">
        <f>ROUND(T49*(1+$AE49),0)</f>
        <v>0</v>
      </c>
      <c r="V49" s="169">
        <f>ROUND(U49*(1+$AE49),0)</f>
        <v>0</v>
      </c>
      <c r="W49" s="169">
        <f>ROUND(V49*(1+$AE49),0)</f>
        <v>0</v>
      </c>
      <c r="X49" s="169">
        <v>99376</v>
      </c>
      <c r="Y49" s="169">
        <f>ROUND(X49*(1+$AE49),0)</f>
        <v>104345</v>
      </c>
      <c r="Z49" s="169">
        <f>ROUND(Y49*(1+$AE49),0)</f>
        <v>109562</v>
      </c>
      <c r="AA49" s="169">
        <f>ROUND(Z49*(1+$AE49),0)</f>
        <v>115040</v>
      </c>
      <c r="AB49" s="169">
        <f>ROUND(AA49*(1+$AE49),0)</f>
        <v>120792</v>
      </c>
      <c r="AC49" s="987"/>
      <c r="AD49" s="8" t="str">
        <f t="shared" si="53"/>
        <v/>
      </c>
      <c r="AE49" s="887">
        <v>0.05</v>
      </c>
      <c r="AF49" s="22"/>
    </row>
    <row r="50" spans="1:33">
      <c r="B50" s="72" t="s">
        <v>507</v>
      </c>
      <c r="C50" s="126">
        <f t="shared" ref="C50:R50" si="91">+C32+C37+C42+C47+C49</f>
        <v>0</v>
      </c>
      <c r="D50" s="126">
        <f t="shared" si="91"/>
        <v>0</v>
      </c>
      <c r="E50" s="126">
        <f t="shared" si="91"/>
        <v>0</v>
      </c>
      <c r="F50" s="126">
        <f t="shared" si="91"/>
        <v>0</v>
      </c>
      <c r="G50" s="126">
        <f t="shared" si="91"/>
        <v>0</v>
      </c>
      <c r="H50" s="126">
        <f t="shared" si="91"/>
        <v>0</v>
      </c>
      <c r="I50" s="126">
        <f t="shared" si="91"/>
        <v>0</v>
      </c>
      <c r="J50" s="126">
        <f t="shared" si="91"/>
        <v>0</v>
      </c>
      <c r="K50" s="126">
        <f t="shared" si="91"/>
        <v>0</v>
      </c>
      <c r="L50" s="612">
        <f t="shared" si="91"/>
        <v>0</v>
      </c>
      <c r="M50" s="612">
        <f t="shared" si="91"/>
        <v>0</v>
      </c>
      <c r="N50" s="612">
        <f t="shared" si="91"/>
        <v>0</v>
      </c>
      <c r="O50" s="612">
        <f t="shared" si="91"/>
        <v>0</v>
      </c>
      <c r="P50" s="612">
        <f t="shared" si="91"/>
        <v>0</v>
      </c>
      <c r="Q50" s="612">
        <f t="shared" si="91"/>
        <v>0</v>
      </c>
      <c r="R50" s="612">
        <f t="shared" si="91"/>
        <v>0</v>
      </c>
      <c r="S50" s="612">
        <f t="shared" ref="S50:V50" si="92">+S32+S37+S42+S47+S49</f>
        <v>0</v>
      </c>
      <c r="T50" s="612">
        <f t="shared" si="92"/>
        <v>12926264</v>
      </c>
      <c r="U50" s="612">
        <f t="shared" si="92"/>
        <v>14062698</v>
      </c>
      <c r="V50" s="612">
        <f t="shared" si="92"/>
        <v>14741279</v>
      </c>
      <c r="W50" s="612">
        <f t="shared" ref="W50:X50" si="93">+W32+W37+W42+W47+W49</f>
        <v>15801718</v>
      </c>
      <c r="X50" s="612">
        <f t="shared" si="93"/>
        <v>17663630</v>
      </c>
      <c r="Y50" s="612">
        <f t="shared" ref="Y50:Z50" si="94">+Y32+Y37+Y42+Y47+Y49</f>
        <v>18639864.375</v>
      </c>
      <c r="Z50" s="612">
        <f t="shared" si="94"/>
        <v>19677834.91375</v>
      </c>
      <c r="AA50" s="612">
        <f t="shared" ref="AA50:AB50" si="95">+AA32+AA37+AA42+AA47+AA49</f>
        <v>20517628.082625002</v>
      </c>
      <c r="AB50" s="612">
        <f t="shared" si="95"/>
        <v>21464324.726193752</v>
      </c>
      <c r="AC50" s="987">
        <f t="shared" si="25"/>
        <v>0.35835386545904391</v>
      </c>
      <c r="AD50" s="111" t="str">
        <f t="shared" si="53"/>
        <v/>
      </c>
      <c r="AE50" s="782"/>
    </row>
    <row r="51" spans="1:33">
      <c r="B51" s="115"/>
      <c r="C51" s="114"/>
      <c r="D51" s="114"/>
      <c r="E51" s="114"/>
      <c r="F51" s="114"/>
      <c r="G51" s="114"/>
      <c r="H51" s="114"/>
      <c r="I51" s="114"/>
      <c r="L51" s="256"/>
      <c r="M51" s="256"/>
      <c r="N51" s="256"/>
      <c r="O51" s="256"/>
      <c r="P51" s="256"/>
      <c r="AA51" s="46"/>
      <c r="AB51" s="46"/>
      <c r="AC51" s="988"/>
      <c r="AD51" s="111" t="str">
        <f t="shared" si="53"/>
        <v/>
      </c>
    </row>
    <row r="52" spans="1:33">
      <c r="B52" s="112" t="s">
        <v>508</v>
      </c>
      <c r="C52" s="113"/>
      <c r="D52" s="113"/>
      <c r="E52" s="113"/>
      <c r="F52" s="113"/>
      <c r="G52" s="113"/>
      <c r="H52" s="113"/>
      <c r="I52" s="113"/>
      <c r="AA52" s="46"/>
      <c r="AB52" s="46"/>
      <c r="AC52" s="988"/>
      <c r="AD52" s="8" t="str">
        <f t="shared" si="53"/>
        <v/>
      </c>
      <c r="AE52" s="779" t="s">
        <v>474</v>
      </c>
    </row>
    <row r="53" spans="1:33">
      <c r="B53" s="84" t="s">
        <v>509</v>
      </c>
      <c r="C53" s="118"/>
      <c r="D53" s="118"/>
      <c r="E53" s="118"/>
      <c r="F53" s="118"/>
      <c r="G53" s="118"/>
      <c r="H53" s="118"/>
      <c r="I53" s="118"/>
      <c r="J53" s="104"/>
      <c r="K53" s="104"/>
      <c r="L53" s="169">
        <v>0</v>
      </c>
      <c r="M53" s="169">
        <v>0</v>
      </c>
      <c r="N53" s="169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571945</v>
      </c>
      <c r="U53" s="169">
        <v>592853</v>
      </c>
      <c r="V53" s="169">
        <v>645000</v>
      </c>
      <c r="W53" s="169">
        <v>695790</v>
      </c>
      <c r="X53" s="169">
        <f>740580</f>
        <v>740580</v>
      </c>
      <c r="Y53" s="169">
        <f>X53*1.06</f>
        <v>785014.8</v>
      </c>
      <c r="Z53" s="169">
        <f t="shared" ref="Z53:AB53" si="96">Y53*1.06</f>
        <v>832115.68800000008</v>
      </c>
      <c r="AA53" s="169">
        <f t="shared" si="96"/>
        <v>882042.62928000011</v>
      </c>
      <c r="AB53" s="169">
        <f t="shared" si="96"/>
        <v>934965.1870368002</v>
      </c>
      <c r="AC53" s="987">
        <f t="shared" si="25"/>
        <v>0.34374622664424637</v>
      </c>
      <c r="AD53" s="8">
        <f>IFERROR(AVERAGE((U53-T53)/T53,(V53-U53)/U53,(W53-V53)/V53),"")</f>
        <v>6.7753186144065974E-2</v>
      </c>
      <c r="AE53" s="887">
        <v>0.06</v>
      </c>
      <c r="AF53" s="778" t="s">
        <v>475</v>
      </c>
    </row>
    <row r="54" spans="1:33">
      <c r="B54" s="84" t="s">
        <v>510</v>
      </c>
      <c r="C54" s="118"/>
      <c r="D54" s="118"/>
      <c r="E54" s="118"/>
      <c r="F54" s="118"/>
      <c r="G54" s="118"/>
      <c r="H54" s="118"/>
      <c r="I54" s="118"/>
      <c r="J54" s="104"/>
      <c r="K54" s="104"/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f>ROUND(R54*(1+$AE53),0)</f>
        <v>0</v>
      </c>
      <c r="T54" s="169">
        <v>370055</v>
      </c>
      <c r="U54" s="169">
        <v>380050</v>
      </c>
      <c r="V54" s="169">
        <v>396550</v>
      </c>
      <c r="W54" s="169">
        <v>380950</v>
      </c>
      <c r="X54" s="169">
        <f>428100</f>
        <v>428100</v>
      </c>
      <c r="Y54" s="169">
        <f>X54*1.06</f>
        <v>453786</v>
      </c>
      <c r="Z54" s="169">
        <f t="shared" ref="Z54:AB54" si="97">Y54*1.06</f>
        <v>481013.16000000003</v>
      </c>
      <c r="AA54" s="169">
        <f t="shared" si="97"/>
        <v>509873.94960000005</v>
      </c>
      <c r="AB54" s="169">
        <f t="shared" si="97"/>
        <v>540466.38657600014</v>
      </c>
      <c r="AC54" s="987">
        <f t="shared" si="25"/>
        <v>0.41873313184407435</v>
      </c>
      <c r="AD54" s="8">
        <f>IFERROR(AVERAGE((U54-T54)/T54,(V54-U54)/U54,(W54-V54)/V54),"")</f>
        <v>1.0361845733218196E-2</v>
      </c>
      <c r="AE54" s="887">
        <v>0.01</v>
      </c>
    </row>
    <row r="55" spans="1:33">
      <c r="B55" s="84" t="s">
        <v>511</v>
      </c>
      <c r="C55" s="118"/>
      <c r="D55" s="118"/>
      <c r="E55" s="118"/>
      <c r="F55" s="118"/>
      <c r="G55" s="118"/>
      <c r="H55" s="118"/>
      <c r="I55" s="118"/>
      <c r="J55" s="104"/>
      <c r="K55" s="104"/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f>ROUND(R55*(1+$AE54),0)</f>
        <v>0</v>
      </c>
      <c r="T55" s="169">
        <f t="shared" ref="T55:AB56" si="98">ROUND(S55*(1+$AE54),0)</f>
        <v>0</v>
      </c>
      <c r="U55" s="169">
        <f t="shared" si="98"/>
        <v>0</v>
      </c>
      <c r="V55" s="169">
        <f t="shared" si="98"/>
        <v>0</v>
      </c>
      <c r="W55" s="169">
        <f t="shared" si="98"/>
        <v>0</v>
      </c>
      <c r="X55" s="169">
        <f t="shared" si="98"/>
        <v>0</v>
      </c>
      <c r="Y55" s="169">
        <f t="shared" si="98"/>
        <v>0</v>
      </c>
      <c r="Z55" s="169">
        <f t="shared" si="98"/>
        <v>0</v>
      </c>
      <c r="AA55" s="169">
        <f t="shared" si="98"/>
        <v>0</v>
      </c>
      <c r="AB55" s="169">
        <f t="shared" si="98"/>
        <v>0</v>
      </c>
      <c r="AC55" s="987"/>
      <c r="AD55" s="8" t="str">
        <f t="shared" si="53"/>
        <v/>
      </c>
      <c r="AE55" s="887">
        <v>0</v>
      </c>
    </row>
    <row r="56" spans="1:33">
      <c r="B56" s="84" t="s">
        <v>512</v>
      </c>
      <c r="C56" s="118"/>
      <c r="D56" s="118"/>
      <c r="E56" s="118"/>
      <c r="F56" s="118"/>
      <c r="G56" s="118"/>
      <c r="H56" s="118"/>
      <c r="I56" s="118"/>
      <c r="J56" s="104"/>
      <c r="K56" s="104"/>
      <c r="L56" s="169">
        <v>0</v>
      </c>
      <c r="M56" s="169">
        <v>0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f>ROUND(R56*(1+$AE55),0)</f>
        <v>0</v>
      </c>
      <c r="T56" s="169">
        <f t="shared" si="98"/>
        <v>0</v>
      </c>
      <c r="U56" s="169">
        <f t="shared" si="98"/>
        <v>0</v>
      </c>
      <c r="V56" s="169">
        <f t="shared" si="98"/>
        <v>0</v>
      </c>
      <c r="W56" s="169">
        <f t="shared" si="98"/>
        <v>0</v>
      </c>
      <c r="X56" s="169">
        <f t="shared" si="98"/>
        <v>0</v>
      </c>
      <c r="Y56" s="169">
        <f t="shared" si="98"/>
        <v>0</v>
      </c>
      <c r="Z56" s="169">
        <f t="shared" si="98"/>
        <v>0</v>
      </c>
      <c r="AA56" s="169">
        <f t="shared" si="98"/>
        <v>0</v>
      </c>
      <c r="AB56" s="169">
        <f t="shared" si="98"/>
        <v>0</v>
      </c>
      <c r="AC56" s="987"/>
      <c r="AD56" s="122" t="str">
        <f t="shared" si="53"/>
        <v/>
      </c>
      <c r="AG56" s="122"/>
    </row>
    <row r="57" spans="1:33" s="122" customFormat="1">
      <c r="A57" s="744"/>
      <c r="B57" s="120" t="s">
        <v>513</v>
      </c>
      <c r="C57" s="612">
        <f t="shared" ref="C57:Q57" si="99">SUM(C53:C56)</f>
        <v>0</v>
      </c>
      <c r="D57" s="612">
        <f t="shared" si="99"/>
        <v>0</v>
      </c>
      <c r="E57" s="612">
        <f t="shared" si="99"/>
        <v>0</v>
      </c>
      <c r="F57" s="612">
        <f t="shared" si="99"/>
        <v>0</v>
      </c>
      <c r="G57" s="612">
        <f t="shared" si="99"/>
        <v>0</v>
      </c>
      <c r="H57" s="612">
        <f t="shared" si="99"/>
        <v>0</v>
      </c>
      <c r="I57" s="612">
        <f t="shared" si="99"/>
        <v>0</v>
      </c>
      <c r="J57" s="612">
        <f t="shared" si="99"/>
        <v>0</v>
      </c>
      <c r="K57" s="612">
        <f t="shared" si="99"/>
        <v>0</v>
      </c>
      <c r="L57" s="612">
        <f t="shared" si="99"/>
        <v>0</v>
      </c>
      <c r="M57" s="612">
        <f t="shared" si="99"/>
        <v>0</v>
      </c>
      <c r="N57" s="612">
        <f t="shared" si="99"/>
        <v>0</v>
      </c>
      <c r="O57" s="612">
        <f t="shared" si="99"/>
        <v>0</v>
      </c>
      <c r="P57" s="612">
        <f t="shared" si="99"/>
        <v>0</v>
      </c>
      <c r="Q57" s="612">
        <f t="shared" si="99"/>
        <v>0</v>
      </c>
      <c r="R57" s="612">
        <f t="shared" ref="R57" si="100">SUM(R53:R56)</f>
        <v>0</v>
      </c>
      <c r="S57" s="612">
        <f t="shared" ref="S57:V57" si="101">SUM(S53:S56)</f>
        <v>0</v>
      </c>
      <c r="T57" s="612">
        <f t="shared" si="101"/>
        <v>942000</v>
      </c>
      <c r="U57" s="612">
        <f t="shared" si="101"/>
        <v>972903</v>
      </c>
      <c r="V57" s="612">
        <f t="shared" si="101"/>
        <v>1041550</v>
      </c>
      <c r="W57" s="612">
        <f t="shared" ref="W57:X57" si="102">SUM(W53:W56)</f>
        <v>1076740</v>
      </c>
      <c r="X57" s="612">
        <f t="shared" si="102"/>
        <v>1168680</v>
      </c>
      <c r="Y57" s="612">
        <f t="shared" ref="Y57:Z57" si="103">SUM(Y53:Y56)</f>
        <v>1238800.8</v>
      </c>
      <c r="Z57" s="612">
        <f t="shared" si="103"/>
        <v>1313128.8480000002</v>
      </c>
      <c r="AA57" s="612">
        <f t="shared" ref="AA57:AB57" si="104">SUM(AA53:AA56)</f>
        <v>1391916.5788800002</v>
      </c>
      <c r="AB57" s="612">
        <f t="shared" si="104"/>
        <v>1475431.5736128003</v>
      </c>
      <c r="AC57" s="987">
        <f t="shared" si="25"/>
        <v>0.37027655108271285</v>
      </c>
      <c r="AD57" s="111" t="str">
        <f t="shared" si="53"/>
        <v/>
      </c>
      <c r="AE57" s="782"/>
      <c r="AG57" s="32"/>
    </row>
    <row r="58" spans="1:33">
      <c r="B58" s="112"/>
      <c r="C58" s="113"/>
      <c r="D58" s="113"/>
      <c r="E58" s="113"/>
      <c r="F58" s="113"/>
      <c r="G58" s="113"/>
      <c r="H58" s="113"/>
      <c r="I58" s="113"/>
      <c r="J58" s="12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988"/>
      <c r="AD58" s="111" t="str">
        <f t="shared" si="53"/>
        <v/>
      </c>
      <c r="AE58" s="782"/>
    </row>
    <row r="59" spans="1:33">
      <c r="B59" s="112" t="s">
        <v>514</v>
      </c>
      <c r="C59" s="113"/>
      <c r="D59" s="113"/>
      <c r="E59" s="113"/>
      <c r="F59" s="113"/>
      <c r="G59" s="113"/>
      <c r="H59" s="113"/>
      <c r="I59" s="113"/>
      <c r="J59" s="127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988"/>
      <c r="AD59" s="8" t="str">
        <f t="shared" ref="AD59:AD81" si="105">IFERROR(AVERAGE((M60-L60)/L60,(N60-M60)/M60,(O60-N60)/N60,(P60-O60)/O60,(Q60-P60)/P60,(R60-Q60)/Q60),"")</f>
        <v/>
      </c>
      <c r="AE59" s="779" t="s">
        <v>474</v>
      </c>
      <c r="AF59" s="778" t="s">
        <v>475</v>
      </c>
    </row>
    <row r="60" spans="1:33">
      <c r="B60" s="84" t="s">
        <v>27</v>
      </c>
      <c r="C60" s="118"/>
      <c r="D60" s="118"/>
      <c r="E60" s="118"/>
      <c r="F60" s="118"/>
      <c r="G60" s="118"/>
      <c r="H60" s="118"/>
      <c r="I60" s="118"/>
      <c r="J60" s="104"/>
      <c r="K60" s="104"/>
      <c r="L60" s="169">
        <v>0</v>
      </c>
      <c r="M60" s="169">
        <v>0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36779</v>
      </c>
      <c r="U60" s="169">
        <v>37487</v>
      </c>
      <c r="V60" s="169">
        <v>43441</v>
      </c>
      <c r="W60" s="169">
        <v>42521</v>
      </c>
      <c r="X60" s="169">
        <v>73775</v>
      </c>
      <c r="Y60" s="169">
        <v>86856.38</v>
      </c>
      <c r="Z60" s="169">
        <v>91490.233900000007</v>
      </c>
      <c r="AA60" s="169">
        <v>93890.330917000014</v>
      </c>
      <c r="AB60" s="169">
        <v>96362.430844510003</v>
      </c>
      <c r="AC60" s="987">
        <f t="shared" si="25"/>
        <v>1.2662315289976718</v>
      </c>
      <c r="AD60" s="8">
        <f>IFERROR(AVERAGE((U60-T60)/T60,(V60-U60)/U60,(W60-V60)/V60),"")</f>
        <v>5.2300119908000105E-2</v>
      </c>
      <c r="AE60" s="887">
        <v>0.05</v>
      </c>
    </row>
    <row r="61" spans="1:33">
      <c r="B61" s="84" t="s">
        <v>32</v>
      </c>
      <c r="C61" s="118"/>
      <c r="D61" s="118"/>
      <c r="E61" s="118"/>
      <c r="F61" s="118"/>
      <c r="G61" s="118"/>
      <c r="H61" s="118"/>
      <c r="I61" s="118"/>
      <c r="J61" s="104"/>
      <c r="K61" s="104"/>
      <c r="L61" s="169">
        <v>0</v>
      </c>
      <c r="M61" s="169">
        <v>0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f t="shared" ref="S61:Z62" si="106">ROUND(R61*(1+$AE60),0)</f>
        <v>0</v>
      </c>
      <c r="T61" s="169">
        <v>54215</v>
      </c>
      <c r="U61" s="169">
        <v>54615</v>
      </c>
      <c r="V61" s="169">
        <v>54615</v>
      </c>
      <c r="W61" s="169">
        <v>54315</v>
      </c>
      <c r="X61" s="169">
        <f>ROUND(W61*(1+$AE61),0)</f>
        <v>56488</v>
      </c>
      <c r="Y61" s="169">
        <f t="shared" ref="Y61:AB61" si="107">ROUND(X61*(1+$AE61),0)</f>
        <v>58748</v>
      </c>
      <c r="Z61" s="169">
        <f t="shared" si="107"/>
        <v>61098</v>
      </c>
      <c r="AA61" s="169">
        <f t="shared" si="107"/>
        <v>63542</v>
      </c>
      <c r="AB61" s="169">
        <f t="shared" si="107"/>
        <v>66084</v>
      </c>
      <c r="AC61" s="987">
        <f t="shared" si="25"/>
        <v>0.21668047500690424</v>
      </c>
      <c r="AD61" s="8">
        <f>IFERROR(AVERAGE((U61-T61)/T61,(V61-U61)/U61,(W61-V61)/V61),"")</f>
        <v>6.2834516014522986E-4</v>
      </c>
      <c r="AE61" s="887">
        <v>0.04</v>
      </c>
    </row>
    <row r="62" spans="1:33">
      <c r="B62" s="84" t="s">
        <v>476</v>
      </c>
      <c r="C62" s="118"/>
      <c r="D62" s="118"/>
      <c r="E62" s="118"/>
      <c r="F62" s="118"/>
      <c r="G62" s="118"/>
      <c r="H62" s="118"/>
      <c r="I62" s="118"/>
      <c r="J62" s="104"/>
      <c r="K62" s="104"/>
      <c r="L62" s="169">
        <v>0</v>
      </c>
      <c r="M62" s="169">
        <v>0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f t="shared" si="106"/>
        <v>0</v>
      </c>
      <c r="T62" s="169">
        <f t="shared" si="106"/>
        <v>0</v>
      </c>
      <c r="U62" s="169">
        <f t="shared" si="106"/>
        <v>0</v>
      </c>
      <c r="V62" s="169">
        <f t="shared" si="106"/>
        <v>0</v>
      </c>
      <c r="W62" s="169">
        <f t="shared" si="106"/>
        <v>0</v>
      </c>
      <c r="X62" s="169">
        <f t="shared" si="106"/>
        <v>0</v>
      </c>
      <c r="Y62" s="169">
        <f t="shared" si="106"/>
        <v>0</v>
      </c>
      <c r="Z62" s="169">
        <f t="shared" si="106"/>
        <v>0</v>
      </c>
      <c r="AA62" s="169">
        <f t="shared" ref="AA62:AB62" si="108">ROUND(Z62*(1+$AE61),0)</f>
        <v>0</v>
      </c>
      <c r="AB62" s="169">
        <f t="shared" si="108"/>
        <v>0</v>
      </c>
      <c r="AC62" s="987"/>
      <c r="AD62" s="8" t="str">
        <f t="shared" ref="AD62:AD66" si="109">IFERROR(AVERAGE((U62-T62)/T62,(V62-U62)/U62,(W62-V62)/V62),"")</f>
        <v/>
      </c>
      <c r="AE62" s="888"/>
      <c r="AF62" s="122"/>
      <c r="AG62" s="122"/>
    </row>
    <row r="63" spans="1:33" s="122" customFormat="1">
      <c r="A63" s="744"/>
      <c r="B63" s="120" t="s">
        <v>515</v>
      </c>
      <c r="C63" s="612">
        <f t="shared" ref="C63:Q63" si="110">SUM(C60:C62)</f>
        <v>0</v>
      </c>
      <c r="D63" s="612">
        <f t="shared" si="110"/>
        <v>0</v>
      </c>
      <c r="E63" s="612">
        <f t="shared" si="110"/>
        <v>0</v>
      </c>
      <c r="F63" s="612">
        <f t="shared" si="110"/>
        <v>0</v>
      </c>
      <c r="G63" s="612">
        <f t="shared" si="110"/>
        <v>0</v>
      </c>
      <c r="H63" s="612">
        <f t="shared" si="110"/>
        <v>0</v>
      </c>
      <c r="I63" s="612">
        <f t="shared" si="110"/>
        <v>0</v>
      </c>
      <c r="J63" s="612">
        <f t="shared" si="110"/>
        <v>0</v>
      </c>
      <c r="K63" s="612">
        <f t="shared" si="110"/>
        <v>0</v>
      </c>
      <c r="L63" s="612">
        <f t="shared" si="110"/>
        <v>0</v>
      </c>
      <c r="M63" s="612">
        <f t="shared" si="110"/>
        <v>0</v>
      </c>
      <c r="N63" s="612">
        <f t="shared" si="110"/>
        <v>0</v>
      </c>
      <c r="O63" s="612">
        <f t="shared" si="110"/>
        <v>0</v>
      </c>
      <c r="P63" s="612">
        <f t="shared" si="110"/>
        <v>0</v>
      </c>
      <c r="Q63" s="612">
        <f t="shared" si="110"/>
        <v>0</v>
      </c>
      <c r="R63" s="612">
        <f t="shared" ref="R63" si="111">SUM(R60:R62)</f>
        <v>0</v>
      </c>
      <c r="S63" s="612">
        <f t="shared" ref="S63:V63" si="112">SUM(S60:S62)</f>
        <v>0</v>
      </c>
      <c r="T63" s="612">
        <f t="shared" si="112"/>
        <v>90994</v>
      </c>
      <c r="U63" s="612">
        <f t="shared" si="112"/>
        <v>92102</v>
      </c>
      <c r="V63" s="612">
        <f t="shared" si="112"/>
        <v>98056</v>
      </c>
      <c r="W63" s="612">
        <f t="shared" ref="W63:X63" si="113">SUM(W60:W62)</f>
        <v>96836</v>
      </c>
      <c r="X63" s="612">
        <f t="shared" si="113"/>
        <v>130263</v>
      </c>
      <c r="Y63" s="612">
        <f t="shared" ref="Y63:Z63" si="114">SUM(Y60:Y62)</f>
        <v>145604.38</v>
      </c>
      <c r="Z63" s="612">
        <f t="shared" si="114"/>
        <v>152588.23389999999</v>
      </c>
      <c r="AA63" s="612">
        <f t="shared" ref="AA63:AB63" si="115">SUM(AA60:AA62)</f>
        <v>157432.33091700001</v>
      </c>
      <c r="AB63" s="612">
        <f>SUM(AB60:AB62)</f>
        <v>162446.43084451</v>
      </c>
      <c r="AC63" s="987">
        <f t="shared" si="25"/>
        <v>0.67754172874251317</v>
      </c>
      <c r="AD63" s="8"/>
      <c r="AE63" s="782"/>
      <c r="AF63" s="32"/>
      <c r="AG63" s="32"/>
    </row>
    <row r="64" spans="1:33">
      <c r="B64" s="112"/>
      <c r="C64" s="113"/>
      <c r="D64" s="113"/>
      <c r="E64" s="113"/>
      <c r="F64" s="113"/>
      <c r="G64" s="113"/>
      <c r="H64" s="113"/>
      <c r="I64" s="113"/>
      <c r="J64" s="127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988"/>
      <c r="AD64" s="8"/>
      <c r="AE64" s="782"/>
    </row>
    <row r="65" spans="1:33">
      <c r="B65" s="112" t="s">
        <v>516</v>
      </c>
      <c r="C65" s="113"/>
      <c r="D65" s="113"/>
      <c r="E65" s="113"/>
      <c r="F65" s="113"/>
      <c r="G65" s="113"/>
      <c r="H65" s="113"/>
      <c r="I65" s="113"/>
      <c r="J65" s="127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988"/>
      <c r="AD65" s="8"/>
      <c r="AE65" s="779" t="s">
        <v>474</v>
      </c>
      <c r="AF65" s="778" t="s">
        <v>475</v>
      </c>
    </row>
    <row r="66" spans="1:33">
      <c r="B66" s="84" t="s">
        <v>27</v>
      </c>
      <c r="C66" s="118"/>
      <c r="D66" s="118"/>
      <c r="E66" s="118"/>
      <c r="F66" s="118"/>
      <c r="G66" s="118"/>
      <c r="H66" s="118"/>
      <c r="I66" s="118"/>
      <c r="J66" s="104"/>
      <c r="K66" s="104"/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117660</v>
      </c>
      <c r="U66" s="169">
        <v>118933</v>
      </c>
      <c r="V66" s="169">
        <v>134152</v>
      </c>
      <c r="W66" s="169">
        <v>140411</v>
      </c>
      <c r="X66" s="169">
        <v>146590</v>
      </c>
      <c r="Y66" s="169">
        <f t="shared" ref="Y66:AB66" si="116">ROUND(X66*(1+$AE66),0)</f>
        <v>153920</v>
      </c>
      <c r="Z66" s="169">
        <f t="shared" si="116"/>
        <v>161616</v>
      </c>
      <c r="AA66" s="169">
        <f t="shared" si="116"/>
        <v>169697</v>
      </c>
      <c r="AB66" s="169">
        <f t="shared" si="116"/>
        <v>178182</v>
      </c>
      <c r="AC66" s="987">
        <f t="shared" si="25"/>
        <v>0.26900314077956855</v>
      </c>
      <c r="AD66" s="8">
        <f t="shared" si="109"/>
        <v>6.1812714808662128E-2</v>
      </c>
      <c r="AE66" s="887">
        <v>0.05</v>
      </c>
    </row>
    <row r="67" spans="1:33">
      <c r="B67" s="84" t="s">
        <v>32</v>
      </c>
      <c r="C67" s="118"/>
      <c r="D67" s="118"/>
      <c r="E67" s="118"/>
      <c r="F67" s="118"/>
      <c r="G67" s="118"/>
      <c r="H67" s="118"/>
      <c r="I67" s="118"/>
      <c r="J67" s="104"/>
      <c r="K67" s="104"/>
      <c r="L67" s="169">
        <v>0</v>
      </c>
      <c r="M67" s="169">
        <v>0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f t="shared" ref="S67:Z68" si="117">ROUND(R67*(1+$AE66),0)</f>
        <v>0</v>
      </c>
      <c r="T67" s="169">
        <v>37733</v>
      </c>
      <c r="U67" s="169">
        <v>40017</v>
      </c>
      <c r="V67" s="169">
        <v>40132</v>
      </c>
      <c r="W67" s="169">
        <v>33873</v>
      </c>
      <c r="X67" s="169">
        <f>42289</f>
        <v>42289</v>
      </c>
      <c r="Y67" s="169">
        <f t="shared" ref="Y67:AB67" si="118">ROUND(X67*(1+$AE67),0)</f>
        <v>43558</v>
      </c>
      <c r="Z67" s="169">
        <f t="shared" si="118"/>
        <v>44865</v>
      </c>
      <c r="AA67" s="169">
        <f t="shared" si="118"/>
        <v>46211</v>
      </c>
      <c r="AB67" s="169">
        <f t="shared" si="118"/>
        <v>47597</v>
      </c>
      <c r="AC67" s="987">
        <f t="shared" si="25"/>
        <v>0.40516045227762532</v>
      </c>
      <c r="AD67" s="8">
        <f>IFERROR(AVERAGE((U67-T67)/T67,(V67-U67)/U67,(W67-V67)/V67),"")</f>
        <v>-3.0851994068629315E-2</v>
      </c>
      <c r="AE67" s="887">
        <v>0.03</v>
      </c>
    </row>
    <row r="68" spans="1:33">
      <c r="B68" s="84" t="s">
        <v>476</v>
      </c>
      <c r="C68" s="118"/>
      <c r="D68" s="118"/>
      <c r="E68" s="118"/>
      <c r="F68" s="118"/>
      <c r="G68" s="118"/>
      <c r="H68" s="118"/>
      <c r="I68" s="118"/>
      <c r="J68" s="104"/>
      <c r="K68" s="104"/>
      <c r="L68" s="169">
        <v>0</v>
      </c>
      <c r="M68" s="169">
        <v>0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f t="shared" si="117"/>
        <v>0</v>
      </c>
      <c r="T68" s="169">
        <f t="shared" si="117"/>
        <v>0</v>
      </c>
      <c r="U68" s="169">
        <f t="shared" si="117"/>
        <v>0</v>
      </c>
      <c r="V68" s="169">
        <f t="shared" si="117"/>
        <v>0</v>
      </c>
      <c r="W68" s="169">
        <f t="shared" si="117"/>
        <v>0</v>
      </c>
      <c r="X68" s="169">
        <f t="shared" si="117"/>
        <v>0</v>
      </c>
      <c r="Y68" s="169">
        <f t="shared" si="117"/>
        <v>0</v>
      </c>
      <c r="Z68" s="169">
        <f t="shared" si="117"/>
        <v>0</v>
      </c>
      <c r="AA68" s="169">
        <f t="shared" ref="AA68:AB68" si="119">ROUND(Z68*(1+$AE67),0)</f>
        <v>0</v>
      </c>
      <c r="AB68" s="169">
        <f t="shared" si="119"/>
        <v>0</v>
      </c>
      <c r="AC68" s="987"/>
      <c r="AD68" s="8" t="str">
        <f>IFERROR(AVERAGE((U68-T68)/T68,(V68-U68)/U68,(W68-V68)/V68),"")</f>
        <v/>
      </c>
      <c r="AE68" s="888"/>
      <c r="AF68" s="122"/>
      <c r="AG68" s="122"/>
    </row>
    <row r="69" spans="1:33" s="122" customFormat="1">
      <c r="A69" s="744"/>
      <c r="B69" s="120" t="s">
        <v>517</v>
      </c>
      <c r="C69" s="612">
        <f t="shared" ref="C69:J69" si="120">SUM(C66:C68)</f>
        <v>0</v>
      </c>
      <c r="D69" s="612">
        <f t="shared" si="120"/>
        <v>0</v>
      </c>
      <c r="E69" s="612">
        <f t="shared" si="120"/>
        <v>0</v>
      </c>
      <c r="F69" s="612">
        <f t="shared" si="120"/>
        <v>0</v>
      </c>
      <c r="G69" s="612">
        <f t="shared" si="120"/>
        <v>0</v>
      </c>
      <c r="H69" s="612">
        <f t="shared" si="120"/>
        <v>0</v>
      </c>
      <c r="I69" s="612">
        <f t="shared" si="120"/>
        <v>0</v>
      </c>
      <c r="J69" s="612">
        <f t="shared" si="120"/>
        <v>0</v>
      </c>
      <c r="K69" s="612">
        <f t="shared" ref="K69:R69" si="121">SUM(K66:K68)</f>
        <v>0</v>
      </c>
      <c r="L69" s="612">
        <f t="shared" si="121"/>
        <v>0</v>
      </c>
      <c r="M69" s="612">
        <f t="shared" si="121"/>
        <v>0</v>
      </c>
      <c r="N69" s="612">
        <f t="shared" si="121"/>
        <v>0</v>
      </c>
      <c r="O69" s="612">
        <f t="shared" si="121"/>
        <v>0</v>
      </c>
      <c r="P69" s="612">
        <f t="shared" si="121"/>
        <v>0</v>
      </c>
      <c r="Q69" s="612">
        <f t="shared" si="121"/>
        <v>0</v>
      </c>
      <c r="R69" s="612">
        <f t="shared" si="121"/>
        <v>0</v>
      </c>
      <c r="S69" s="612">
        <f t="shared" ref="S69:V69" si="122">SUM(S66:S68)</f>
        <v>0</v>
      </c>
      <c r="T69" s="612">
        <f t="shared" si="122"/>
        <v>155393</v>
      </c>
      <c r="U69" s="612">
        <f t="shared" si="122"/>
        <v>158950</v>
      </c>
      <c r="V69" s="612">
        <f t="shared" si="122"/>
        <v>174284</v>
      </c>
      <c r="W69" s="612">
        <f t="shared" ref="W69:X69" si="123">SUM(W66:W68)</f>
        <v>174284</v>
      </c>
      <c r="X69" s="612">
        <f t="shared" si="123"/>
        <v>188879</v>
      </c>
      <c r="Y69" s="612">
        <f t="shared" ref="Y69:Z69" si="124">SUM(Y66:Y68)</f>
        <v>197478</v>
      </c>
      <c r="Z69" s="612">
        <f t="shared" si="124"/>
        <v>206481</v>
      </c>
      <c r="AA69" s="612">
        <f t="shared" ref="AA69:AB69" si="125">SUM(AA66:AA68)</f>
        <v>215908</v>
      </c>
      <c r="AB69" s="612">
        <f t="shared" si="125"/>
        <v>225779</v>
      </c>
      <c r="AC69" s="987">
        <f t="shared" si="25"/>
        <v>0.29546602097725549</v>
      </c>
      <c r="AD69" s="111" t="str">
        <f t="shared" si="105"/>
        <v/>
      </c>
      <c r="AE69" s="782"/>
      <c r="AF69" s="32"/>
      <c r="AG69" s="32"/>
    </row>
    <row r="70" spans="1:33">
      <c r="B70" s="112"/>
      <c r="C70" s="113"/>
      <c r="D70" s="113"/>
      <c r="E70" s="113"/>
      <c r="F70" s="113"/>
      <c r="G70" s="113"/>
      <c r="H70" s="113"/>
      <c r="I70" s="113"/>
      <c r="J70" s="127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988"/>
      <c r="AD70" s="111" t="str">
        <f t="shared" si="105"/>
        <v/>
      </c>
      <c r="AE70" s="782"/>
    </row>
    <row r="71" spans="1:33">
      <c r="B71" s="112" t="s">
        <v>518</v>
      </c>
      <c r="C71" s="113"/>
      <c r="D71" s="113"/>
      <c r="E71" s="113"/>
      <c r="F71" s="113"/>
      <c r="G71" s="113"/>
      <c r="H71" s="113"/>
      <c r="I71" s="113"/>
      <c r="J71" s="127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988"/>
      <c r="AD71" s="111" t="str">
        <f t="shared" si="105"/>
        <v/>
      </c>
      <c r="AE71" s="785" t="s">
        <v>262</v>
      </c>
      <c r="AG71" s="49" t="s">
        <v>519</v>
      </c>
    </row>
    <row r="72" spans="1:33">
      <c r="B72" s="84" t="s">
        <v>520</v>
      </c>
      <c r="C72" s="169">
        <f>Debt!C52</f>
        <v>0</v>
      </c>
      <c r="D72" s="169">
        <f>Debt!D52</f>
        <v>0</v>
      </c>
      <c r="E72" s="169">
        <f>Debt!E52</f>
        <v>0</v>
      </c>
      <c r="F72" s="169">
        <f>Debt!F52</f>
        <v>0</v>
      </c>
      <c r="G72" s="169">
        <f>Debt!G52</f>
        <v>0</v>
      </c>
      <c r="H72" s="169">
        <f>Debt!H52</f>
        <v>0</v>
      </c>
      <c r="I72" s="169">
        <f>Debt!I52</f>
        <v>0</v>
      </c>
      <c r="J72" s="169">
        <f>Debt!J52</f>
        <v>0</v>
      </c>
      <c r="K72" s="169">
        <f>Debt!K52</f>
        <v>0</v>
      </c>
      <c r="L72" s="169">
        <f>Debt!L52</f>
        <v>0</v>
      </c>
      <c r="M72" s="169">
        <f>Debt!M52</f>
        <v>0</v>
      </c>
      <c r="N72" s="169">
        <f>Debt!N52</f>
        <v>0</v>
      </c>
      <c r="O72" s="169">
        <f>Debt!O52</f>
        <v>0</v>
      </c>
      <c r="P72" s="169">
        <f>Debt!P52</f>
        <v>0</v>
      </c>
      <c r="Q72" s="169">
        <f>Debt!Q52</f>
        <v>0</v>
      </c>
      <c r="R72" s="169">
        <f>Debt!R52</f>
        <v>0</v>
      </c>
      <c r="S72" s="169">
        <f>Debt!S52</f>
        <v>0</v>
      </c>
      <c r="T72" s="169">
        <f>Debt!T52</f>
        <v>160000</v>
      </c>
      <c r="U72" s="169">
        <f>Debt!U52</f>
        <v>415000</v>
      </c>
      <c r="V72" s="169">
        <f>Debt!V52</f>
        <v>420000</v>
      </c>
      <c r="W72" s="169">
        <f>Debt!W52</f>
        <v>425000</v>
      </c>
      <c r="X72" s="169">
        <f>Debt!X52</f>
        <v>855000</v>
      </c>
      <c r="Y72" s="169">
        <f>Debt!Y52</f>
        <v>1135000</v>
      </c>
      <c r="Z72" s="169">
        <f>Debt!Z52</f>
        <v>1190000</v>
      </c>
      <c r="AA72" s="169">
        <f>Debt!AA52</f>
        <v>1245000</v>
      </c>
      <c r="AB72" s="169">
        <f>Debt!AB52</f>
        <v>1300000</v>
      </c>
      <c r="AC72" s="987">
        <f t="shared" si="25"/>
        <v>2.0588235294117645</v>
      </c>
      <c r="AD72" s="111" t="str">
        <f t="shared" si="105"/>
        <v/>
      </c>
      <c r="AE72" s="786"/>
      <c r="AG72" s="49" t="s">
        <v>519</v>
      </c>
    </row>
    <row r="73" spans="1:33">
      <c r="B73" s="84" t="s">
        <v>521</v>
      </c>
      <c r="C73" s="169">
        <f>Debt!C67</f>
        <v>0</v>
      </c>
      <c r="D73" s="169">
        <f>Debt!D67</f>
        <v>0</v>
      </c>
      <c r="E73" s="169">
        <f>Debt!E67</f>
        <v>0</v>
      </c>
      <c r="F73" s="169">
        <f>Debt!F67</f>
        <v>0</v>
      </c>
      <c r="G73" s="169">
        <f>Debt!G67</f>
        <v>0</v>
      </c>
      <c r="H73" s="169">
        <f>Debt!H67</f>
        <v>0</v>
      </c>
      <c r="I73" s="169">
        <f>Debt!I67</f>
        <v>0</v>
      </c>
      <c r="J73" s="169">
        <f>Debt!J67</f>
        <v>0</v>
      </c>
      <c r="K73" s="169">
        <f>Debt!K67</f>
        <v>0</v>
      </c>
      <c r="L73" s="169">
        <f>Debt!L67</f>
        <v>0</v>
      </c>
      <c r="M73" s="169">
        <f>Debt!M67</f>
        <v>0</v>
      </c>
      <c r="N73" s="169">
        <f>Debt!N67</f>
        <v>0</v>
      </c>
      <c r="O73" s="169">
        <f>Debt!O67</f>
        <v>0</v>
      </c>
      <c r="P73" s="169">
        <f>Debt!P67</f>
        <v>0</v>
      </c>
      <c r="Q73" s="169">
        <f>Debt!Q67</f>
        <v>0</v>
      </c>
      <c r="R73" s="169">
        <f>Debt!R67</f>
        <v>0</v>
      </c>
      <c r="S73" s="169">
        <f>Debt!S67</f>
        <v>0</v>
      </c>
      <c r="T73" s="169">
        <f>Debt!T67</f>
        <v>39675</v>
      </c>
      <c r="U73" s="169">
        <f>Debt!U67</f>
        <v>62213</v>
      </c>
      <c r="V73" s="169">
        <f>Debt!V67</f>
        <v>84563</v>
      </c>
      <c r="W73" s="169">
        <f>Debt!W67</f>
        <v>315327</v>
      </c>
      <c r="X73" s="169">
        <f>Debt!X67</f>
        <v>1855026</v>
      </c>
      <c r="Y73" s="169">
        <f>Debt!Y67</f>
        <v>2253850</v>
      </c>
      <c r="Z73" s="169">
        <f>Debt!Z67</f>
        <v>2198300</v>
      </c>
      <c r="AA73" s="169">
        <f>Debt!AA67</f>
        <v>2142600</v>
      </c>
      <c r="AB73" s="169">
        <f>Debt!AB67</f>
        <v>2086262.5</v>
      </c>
      <c r="AC73" s="987">
        <f t="shared" si="25"/>
        <v>5.6161873230012018</v>
      </c>
      <c r="AD73" s="111" t="str">
        <f t="shared" si="105"/>
        <v/>
      </c>
      <c r="AE73" s="786"/>
      <c r="AG73" s="49" t="s">
        <v>519</v>
      </c>
    </row>
    <row r="74" spans="1:33">
      <c r="B74" s="84" t="s">
        <v>522</v>
      </c>
      <c r="C74" s="169">
        <f>Debt!C23</f>
        <v>0</v>
      </c>
      <c r="D74" s="169">
        <f>Debt!D23</f>
        <v>0</v>
      </c>
      <c r="E74" s="169">
        <f>Debt!E23</f>
        <v>0</v>
      </c>
      <c r="F74" s="169">
        <f>Debt!F23</f>
        <v>0</v>
      </c>
      <c r="G74" s="169">
        <f>Debt!G23</f>
        <v>0</v>
      </c>
      <c r="H74" s="169">
        <f>Debt!H23</f>
        <v>0</v>
      </c>
      <c r="I74" s="169">
        <f>Debt!I23</f>
        <v>0</v>
      </c>
      <c r="J74" s="169">
        <f>Debt!J23</f>
        <v>0</v>
      </c>
      <c r="K74" s="169">
        <f>Debt!K23</f>
        <v>0</v>
      </c>
      <c r="L74" s="169">
        <f>Debt!L23</f>
        <v>0</v>
      </c>
      <c r="M74" s="169">
        <f>Debt!M23</f>
        <v>0</v>
      </c>
      <c r="N74" s="169">
        <f>Debt!N23</f>
        <v>0</v>
      </c>
      <c r="O74" s="169">
        <f>Debt!O23</f>
        <v>0</v>
      </c>
      <c r="P74" s="169">
        <f>Debt!P23</f>
        <v>0</v>
      </c>
      <c r="Q74" s="169">
        <f>Debt!Q23</f>
        <v>0</v>
      </c>
      <c r="R74" s="169">
        <f>Debt!R23</f>
        <v>0</v>
      </c>
      <c r="S74" s="169">
        <f>Debt!S23</f>
        <v>0</v>
      </c>
      <c r="T74" s="169">
        <f>Debt!T23</f>
        <v>0</v>
      </c>
      <c r="U74" s="169">
        <f>Debt!U23</f>
        <v>0</v>
      </c>
      <c r="V74" s="169">
        <f>Debt!V23</f>
        <v>0</v>
      </c>
      <c r="W74" s="169">
        <f>Debt!W23</f>
        <v>0</v>
      </c>
      <c r="X74" s="169">
        <f>Debt!X23</f>
        <v>0</v>
      </c>
      <c r="Y74" s="169">
        <f>Debt!Y23</f>
        <v>0</v>
      </c>
      <c r="Z74" s="169">
        <f>Debt!AA23</f>
        <v>0</v>
      </c>
      <c r="AA74" s="169">
        <f>Debt!AB23</f>
        <v>0</v>
      </c>
      <c r="AB74" s="169">
        <f>Debt!AC23</f>
        <v>0</v>
      </c>
      <c r="AC74" s="987"/>
      <c r="AD74" s="111" t="str">
        <f t="shared" si="105"/>
        <v/>
      </c>
      <c r="AE74" s="786"/>
      <c r="AG74" s="49" t="s">
        <v>519</v>
      </c>
    </row>
    <row r="75" spans="1:33">
      <c r="B75" s="84" t="s">
        <v>523</v>
      </c>
      <c r="C75" s="169">
        <f>Debt!C30</f>
        <v>0</v>
      </c>
      <c r="D75" s="169">
        <f>Debt!D30</f>
        <v>0</v>
      </c>
      <c r="E75" s="169">
        <f>Debt!E30</f>
        <v>0</v>
      </c>
      <c r="F75" s="169">
        <f>Debt!F30</f>
        <v>0</v>
      </c>
      <c r="G75" s="169">
        <f>Debt!G30</f>
        <v>0</v>
      </c>
      <c r="H75" s="169">
        <f>Debt!H30</f>
        <v>0</v>
      </c>
      <c r="I75" s="169">
        <f>Debt!I30</f>
        <v>0</v>
      </c>
      <c r="J75" s="169">
        <f>Debt!J30</f>
        <v>0</v>
      </c>
      <c r="K75" s="169">
        <f>Debt!K30</f>
        <v>0</v>
      </c>
      <c r="L75" s="169">
        <f>Debt!L30</f>
        <v>0</v>
      </c>
      <c r="M75" s="169">
        <f>Debt!M30</f>
        <v>0</v>
      </c>
      <c r="N75" s="169">
        <f>Debt!N30</f>
        <v>0</v>
      </c>
      <c r="O75" s="169">
        <f>Debt!O30</f>
        <v>0</v>
      </c>
      <c r="P75" s="169">
        <f>Debt!P30</f>
        <v>0</v>
      </c>
      <c r="Q75" s="169">
        <f>Debt!Q30</f>
        <v>0</v>
      </c>
      <c r="R75" s="169">
        <f>Debt!R30</f>
        <v>0</v>
      </c>
      <c r="S75" s="169">
        <f>Debt!S30</f>
        <v>0</v>
      </c>
      <c r="T75" s="169">
        <f>Debt!T30</f>
        <v>0</v>
      </c>
      <c r="U75" s="169">
        <f>Debt!U30</f>
        <v>0</v>
      </c>
      <c r="V75" s="169">
        <f>Debt!V30</f>
        <v>0</v>
      </c>
      <c r="W75" s="169">
        <f>Debt!W30</f>
        <v>0</v>
      </c>
      <c r="X75" s="169">
        <f>Debt!X30</f>
        <v>0</v>
      </c>
      <c r="Y75" s="169">
        <f>Debt!Y30</f>
        <v>0</v>
      </c>
      <c r="Z75" s="169"/>
      <c r="AA75" s="169">
        <f>Debt!AB30</f>
        <v>0</v>
      </c>
      <c r="AB75" s="169">
        <f>Debt!AC30</f>
        <v>0</v>
      </c>
      <c r="AC75" s="987"/>
      <c r="AD75" s="111" t="str">
        <f t="shared" si="105"/>
        <v/>
      </c>
      <c r="AE75" s="786"/>
      <c r="AF75" s="22"/>
      <c r="AG75" s="49" t="s">
        <v>519</v>
      </c>
    </row>
    <row r="76" spans="1:33">
      <c r="B76" s="14" t="s">
        <v>524</v>
      </c>
      <c r="C76" s="169">
        <f>Debt!C119</f>
        <v>0</v>
      </c>
      <c r="D76" s="169">
        <f>Debt!D119</f>
        <v>0</v>
      </c>
      <c r="E76" s="169">
        <f>Debt!E119</f>
        <v>0</v>
      </c>
      <c r="F76" s="169">
        <f>Debt!F119</f>
        <v>0</v>
      </c>
      <c r="G76" s="169">
        <f>Debt!G119</f>
        <v>0</v>
      </c>
      <c r="H76" s="169">
        <f>Debt!H119</f>
        <v>0</v>
      </c>
      <c r="I76" s="169">
        <f>Debt!I119</f>
        <v>0</v>
      </c>
      <c r="J76" s="169">
        <f>Debt!J119</f>
        <v>0</v>
      </c>
      <c r="K76" s="169">
        <f>Debt!K119</f>
        <v>0</v>
      </c>
      <c r="L76" s="169">
        <f>Debt!L119</f>
        <v>0</v>
      </c>
      <c r="M76" s="169">
        <f>Debt!M119</f>
        <v>0</v>
      </c>
      <c r="N76" s="169">
        <f>Debt!N119</f>
        <v>0</v>
      </c>
      <c r="O76" s="169">
        <f>Debt!O119</f>
        <v>0</v>
      </c>
      <c r="P76" s="169">
        <f>Debt!P119</f>
        <v>0</v>
      </c>
      <c r="Q76" s="169">
        <f>Debt!Q119</f>
        <v>0</v>
      </c>
      <c r="R76" s="169">
        <f>Debt!R119</f>
        <v>0</v>
      </c>
      <c r="S76" s="169">
        <f>Debt!S119</f>
        <v>0</v>
      </c>
      <c r="T76" s="169">
        <f>Debt!T119</f>
        <v>0</v>
      </c>
      <c r="U76" s="169">
        <f>Debt!U119</f>
        <v>0</v>
      </c>
      <c r="V76" s="169">
        <f>Debt!V119</f>
        <v>0</v>
      </c>
      <c r="W76" s="169">
        <f>Debt!W119</f>
        <v>0</v>
      </c>
      <c r="X76" s="169">
        <f>Debt!X119</f>
        <v>0</v>
      </c>
      <c r="Y76" s="169">
        <f>Debt!Y119</f>
        <v>0</v>
      </c>
      <c r="Z76" s="169"/>
      <c r="AA76" s="169">
        <f>Debt!AB119</f>
        <v>0</v>
      </c>
      <c r="AB76" s="169">
        <f>Debt!AC119</f>
        <v>0</v>
      </c>
      <c r="AC76" s="987"/>
      <c r="AD76" s="111" t="str">
        <f t="shared" si="105"/>
        <v/>
      </c>
      <c r="AE76" s="786"/>
      <c r="AG76" s="49" t="s">
        <v>519</v>
      </c>
    </row>
    <row r="77" spans="1:33">
      <c r="B77" s="14" t="s">
        <v>525</v>
      </c>
      <c r="C77" s="169">
        <f>Debt!C125</f>
        <v>0</v>
      </c>
      <c r="D77" s="169">
        <f>Debt!D125</f>
        <v>0</v>
      </c>
      <c r="E77" s="169">
        <f>Debt!E125</f>
        <v>0</v>
      </c>
      <c r="F77" s="169">
        <f>Debt!F125</f>
        <v>0</v>
      </c>
      <c r="G77" s="169">
        <f>Debt!G125</f>
        <v>0</v>
      </c>
      <c r="H77" s="169">
        <f>Debt!H125</f>
        <v>0</v>
      </c>
      <c r="I77" s="169">
        <f>Debt!I125</f>
        <v>0</v>
      </c>
      <c r="J77" s="169">
        <f>Debt!J125</f>
        <v>0</v>
      </c>
      <c r="K77" s="169">
        <f>Debt!K125</f>
        <v>0</v>
      </c>
      <c r="L77" s="169">
        <f>Debt!L125</f>
        <v>0</v>
      </c>
      <c r="M77" s="169">
        <f>Debt!M125</f>
        <v>0</v>
      </c>
      <c r="N77" s="169">
        <f>Debt!N125</f>
        <v>0</v>
      </c>
      <c r="O77" s="169">
        <f>Debt!O125</f>
        <v>0</v>
      </c>
      <c r="P77" s="169">
        <f>Debt!P125</f>
        <v>0</v>
      </c>
      <c r="Q77" s="169">
        <f>Debt!Q125</f>
        <v>0</v>
      </c>
      <c r="R77" s="169">
        <f>Debt!R125</f>
        <v>0</v>
      </c>
      <c r="S77" s="169">
        <f>Debt!S125</f>
        <v>0</v>
      </c>
      <c r="T77" s="169">
        <f>Debt!T125</f>
        <v>0</v>
      </c>
      <c r="U77" s="169">
        <f>Debt!U125</f>
        <v>0</v>
      </c>
      <c r="V77" s="169">
        <f>Debt!V125</f>
        <v>0</v>
      </c>
      <c r="W77" s="169">
        <f>Debt!W125</f>
        <v>0</v>
      </c>
      <c r="X77" s="169">
        <f>Debt!X125</f>
        <v>0</v>
      </c>
      <c r="Y77" s="169">
        <f>Debt!Y125</f>
        <v>0</v>
      </c>
      <c r="Z77" s="169"/>
      <c r="AA77" s="169">
        <f>Debt!AB125</f>
        <v>0</v>
      </c>
      <c r="AB77" s="169">
        <f>Debt!AC125</f>
        <v>0</v>
      </c>
      <c r="AC77" s="987"/>
      <c r="AD77" s="111" t="str">
        <f t="shared" si="105"/>
        <v/>
      </c>
      <c r="AE77" s="786"/>
      <c r="AG77" s="49" t="s">
        <v>519</v>
      </c>
    </row>
    <row r="78" spans="1:33">
      <c r="B78" s="14" t="s">
        <v>526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69">
        <f>Debt!S36</f>
        <v>0</v>
      </c>
      <c r="T78" s="169">
        <f>Debt!T36</f>
        <v>0</v>
      </c>
      <c r="U78" s="169">
        <f>Debt!U36</f>
        <v>0</v>
      </c>
      <c r="V78" s="169">
        <f>Debt!V36</f>
        <v>0</v>
      </c>
      <c r="W78" s="169">
        <f>Debt!W36</f>
        <v>0</v>
      </c>
      <c r="X78" s="169">
        <f>Debt!X36</f>
        <v>0</v>
      </c>
      <c r="Y78" s="169">
        <f>Debt!Y36</f>
        <v>0</v>
      </c>
      <c r="Z78" s="169">
        <f>Debt!AA36</f>
        <v>0</v>
      </c>
      <c r="AA78" s="169">
        <f>Debt!AB36</f>
        <v>0</v>
      </c>
      <c r="AB78" s="169">
        <f>Debt!AC36</f>
        <v>0.1</v>
      </c>
      <c r="AC78" s="987"/>
      <c r="AD78" s="111" t="str">
        <f t="shared" si="105"/>
        <v/>
      </c>
      <c r="AE78" s="782"/>
    </row>
    <row r="79" spans="1:33">
      <c r="B79" s="72" t="s">
        <v>527</v>
      </c>
      <c r="C79" s="612">
        <f t="shared" ref="C79:K79" si="126">SUM(C72:C77)</f>
        <v>0</v>
      </c>
      <c r="D79" s="612">
        <f t="shared" si="126"/>
        <v>0</v>
      </c>
      <c r="E79" s="612">
        <f t="shared" si="126"/>
        <v>0</v>
      </c>
      <c r="F79" s="612">
        <f t="shared" si="126"/>
        <v>0</v>
      </c>
      <c r="G79" s="612">
        <f t="shared" si="126"/>
        <v>0</v>
      </c>
      <c r="H79" s="612">
        <f t="shared" si="126"/>
        <v>0</v>
      </c>
      <c r="I79" s="612">
        <f t="shared" si="126"/>
        <v>0</v>
      </c>
      <c r="J79" s="612">
        <f t="shared" si="126"/>
        <v>0</v>
      </c>
      <c r="K79" s="612">
        <f t="shared" si="126"/>
        <v>0</v>
      </c>
      <c r="L79" s="612">
        <f t="shared" ref="L79:R79" si="127">SUM(L72:L77)</f>
        <v>0</v>
      </c>
      <c r="M79" s="612">
        <f t="shared" si="127"/>
        <v>0</v>
      </c>
      <c r="N79" s="612">
        <f t="shared" si="127"/>
        <v>0</v>
      </c>
      <c r="O79" s="612">
        <f t="shared" si="127"/>
        <v>0</v>
      </c>
      <c r="P79" s="612">
        <f t="shared" si="127"/>
        <v>0</v>
      </c>
      <c r="Q79" s="612">
        <f t="shared" si="127"/>
        <v>0</v>
      </c>
      <c r="R79" s="612">
        <f t="shared" si="127"/>
        <v>0</v>
      </c>
      <c r="S79" s="612">
        <f t="shared" ref="S79:V79" si="128">SUM(S72:S77)</f>
        <v>0</v>
      </c>
      <c r="T79" s="612">
        <f t="shared" si="128"/>
        <v>199675</v>
      </c>
      <c r="U79" s="612">
        <f t="shared" si="128"/>
        <v>477213</v>
      </c>
      <c r="V79" s="612">
        <f t="shared" si="128"/>
        <v>504563</v>
      </c>
      <c r="W79" s="612">
        <f t="shared" ref="W79:X79" si="129">SUM(W72:W77)</f>
        <v>740327</v>
      </c>
      <c r="X79" s="612">
        <f t="shared" si="129"/>
        <v>2710026</v>
      </c>
      <c r="Y79" s="612">
        <f t="shared" ref="Y79:Z79" si="130">SUM(Y72:Y77)</f>
        <v>3388850</v>
      </c>
      <c r="Z79" s="612">
        <f t="shared" si="130"/>
        <v>3388300</v>
      </c>
      <c r="AA79" s="612">
        <f t="shared" ref="AA79:AB79" si="131">SUM(AA72:AA77)</f>
        <v>3387600</v>
      </c>
      <c r="AB79" s="612">
        <f t="shared" si="131"/>
        <v>3386262.5</v>
      </c>
      <c r="AC79" s="987">
        <f t="shared" ref="AC79:AC92" si="132">AB79/W79-1</f>
        <v>3.5740091878318632</v>
      </c>
      <c r="AD79" s="111" t="str">
        <f t="shared" si="105"/>
        <v/>
      </c>
      <c r="AE79" s="782"/>
    </row>
    <row r="80" spans="1:33">
      <c r="B80" s="129"/>
      <c r="C80" s="61"/>
      <c r="D80" s="61"/>
      <c r="E80" s="61"/>
      <c r="F80" s="61"/>
      <c r="G80" s="61"/>
      <c r="H80" s="61"/>
      <c r="I80" s="61"/>
      <c r="J80" s="61"/>
      <c r="K80" s="61"/>
      <c r="AA80" s="46"/>
      <c r="AB80" s="46"/>
      <c r="AC80" s="988"/>
      <c r="AD80" s="111" t="str">
        <f t="shared" si="105"/>
        <v/>
      </c>
      <c r="AE80" s="782"/>
    </row>
    <row r="81" spans="1:33">
      <c r="B81" s="12" t="s">
        <v>528</v>
      </c>
      <c r="C81" s="127"/>
      <c r="D81" s="127"/>
      <c r="E81" s="127"/>
      <c r="F81" s="127"/>
      <c r="G81" s="127"/>
      <c r="H81" s="127"/>
      <c r="I81" s="127"/>
      <c r="J81" s="110"/>
      <c r="K81" s="130"/>
      <c r="AA81" s="46"/>
      <c r="AB81" s="46"/>
      <c r="AC81" s="988"/>
      <c r="AD81" s="8" t="str">
        <f t="shared" si="105"/>
        <v/>
      </c>
      <c r="AE81" s="887">
        <v>0</v>
      </c>
    </row>
    <row r="82" spans="1:33">
      <c r="B82" s="81" t="s">
        <v>529</v>
      </c>
      <c r="C82" s="131"/>
      <c r="D82" s="131"/>
      <c r="E82" s="131"/>
      <c r="F82" s="131"/>
      <c r="G82" s="131"/>
      <c r="H82" s="131"/>
      <c r="I82" s="131"/>
      <c r="J82" s="132"/>
      <c r="K82" s="104"/>
      <c r="L82" s="169">
        <v>0</v>
      </c>
      <c r="M82" s="169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f t="shared" ref="S82:Z85" si="133">ROUND(R82*(1+$AE81),0)</f>
        <v>0</v>
      </c>
      <c r="T82" s="169">
        <v>150890</v>
      </c>
      <c r="U82" s="169">
        <v>167277</v>
      </c>
      <c r="V82" s="169">
        <v>167277</v>
      </c>
      <c r="W82" s="169">
        <v>174247</v>
      </c>
      <c r="X82" s="169">
        <v>174247</v>
      </c>
      <c r="Y82" s="169">
        <f t="shared" ref="Y82:AB82" si="134">ROUND(X82*(1+$AE82),0)</f>
        <v>188187</v>
      </c>
      <c r="Z82" s="169">
        <f t="shared" si="134"/>
        <v>203242</v>
      </c>
      <c r="AA82" s="169">
        <f t="shared" si="134"/>
        <v>219501</v>
      </c>
      <c r="AB82" s="169">
        <f t="shared" si="134"/>
        <v>237061</v>
      </c>
      <c r="AC82" s="987">
        <f t="shared" si="132"/>
        <v>0.36048827239493364</v>
      </c>
      <c r="AD82" s="8">
        <f>IFERROR(AVERAGE((U82-T82)/T82,(V82-U82)/U82,(W82-V82)/V82),"")</f>
        <v>5.0089902330452685E-2</v>
      </c>
      <c r="AE82" s="887">
        <v>0.08</v>
      </c>
    </row>
    <row r="83" spans="1:33">
      <c r="B83" s="81" t="s">
        <v>530</v>
      </c>
      <c r="C83" s="131"/>
      <c r="D83" s="131"/>
      <c r="E83" s="131"/>
      <c r="F83" s="131"/>
      <c r="G83" s="131"/>
      <c r="H83" s="131"/>
      <c r="I83" s="131"/>
      <c r="J83" s="132"/>
      <c r="K83" s="104"/>
      <c r="L83" s="169">
        <v>0</v>
      </c>
      <c r="M83" s="169">
        <v>0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f t="shared" si="133"/>
        <v>0</v>
      </c>
      <c r="T83" s="169">
        <f>56516</f>
        <v>56516</v>
      </c>
      <c r="U83" s="169">
        <f>58777</f>
        <v>58777</v>
      </c>
      <c r="V83" s="169">
        <f>67556</f>
        <v>67556</v>
      </c>
      <c r="W83" s="169">
        <f>69000</f>
        <v>69000</v>
      </c>
      <c r="X83" s="169">
        <f>ROUND(W83*(1+$AE83),0)</f>
        <v>73830</v>
      </c>
      <c r="Y83" s="169">
        <f t="shared" ref="Y83:AB83" si="135">ROUND(X83*(1+$AE83),0)</f>
        <v>78998</v>
      </c>
      <c r="Z83" s="169">
        <f t="shared" si="135"/>
        <v>84528</v>
      </c>
      <c r="AA83" s="169">
        <f t="shared" si="135"/>
        <v>90445</v>
      </c>
      <c r="AB83" s="169">
        <f t="shared" si="135"/>
        <v>96776</v>
      </c>
      <c r="AC83" s="987">
        <f t="shared" si="132"/>
        <v>0.40255072463768116</v>
      </c>
      <c r="AD83" s="8">
        <f t="shared" ref="AD83:AD84" si="136">IFERROR(AVERAGE((U83-T83)/T83,(V83-U83)/U83,(W83-V83)/V83),"")</f>
        <v>7.0247457972970759E-2</v>
      </c>
      <c r="AE83" s="887">
        <v>7.0000000000000007E-2</v>
      </c>
    </row>
    <row r="84" spans="1:33">
      <c r="B84" s="84" t="s">
        <v>531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69">
        <v>0</v>
      </c>
      <c r="M84" s="169">
        <v>0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f t="shared" si="133"/>
        <v>0</v>
      </c>
      <c r="T84" s="169">
        <v>5000</v>
      </c>
      <c r="U84" s="169">
        <f>ROUND(T84*(1+$AE81),0)</f>
        <v>5000</v>
      </c>
      <c r="V84" s="169">
        <f>75000</f>
        <v>75000</v>
      </c>
      <c r="W84" s="169">
        <f>60000</f>
        <v>60000</v>
      </c>
      <c r="X84" s="169">
        <v>60000</v>
      </c>
      <c r="Y84" s="169">
        <f t="shared" ref="Y84:AB84" si="137">ROUND(X84*(1+$AE84),0)</f>
        <v>63000</v>
      </c>
      <c r="Z84" s="169">
        <f t="shared" si="137"/>
        <v>66150</v>
      </c>
      <c r="AA84" s="169">
        <f t="shared" si="137"/>
        <v>69458</v>
      </c>
      <c r="AB84" s="169">
        <f t="shared" si="137"/>
        <v>72931</v>
      </c>
      <c r="AC84" s="987">
        <f t="shared" si="132"/>
        <v>0.21551666666666658</v>
      </c>
      <c r="AD84" s="8">
        <f t="shared" si="136"/>
        <v>4.6000000000000005</v>
      </c>
      <c r="AE84" s="887">
        <v>0.05</v>
      </c>
    </row>
    <row r="85" spans="1:33">
      <c r="B85" s="14" t="s">
        <v>532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69">
        <v>0</v>
      </c>
      <c r="M85" s="169">
        <v>0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f t="shared" si="133"/>
        <v>0</v>
      </c>
      <c r="T85" s="169">
        <v>68613</v>
      </c>
      <c r="U85" s="169">
        <v>64223</v>
      </c>
      <c r="V85" s="169">
        <v>67307</v>
      </c>
      <c r="W85" s="169">
        <v>72000</v>
      </c>
      <c r="X85" s="169">
        <v>72000</v>
      </c>
      <c r="Y85" s="169">
        <f t="shared" si="133"/>
        <v>75600</v>
      </c>
      <c r="Z85" s="169">
        <f t="shared" si="133"/>
        <v>79380</v>
      </c>
      <c r="AA85" s="169">
        <f t="shared" ref="AA85:AB85" si="138">ROUND(Z85*(1+$AE84),0)</f>
        <v>83349</v>
      </c>
      <c r="AB85" s="169">
        <f t="shared" si="138"/>
        <v>87516</v>
      </c>
      <c r="AC85" s="987">
        <f t="shared" si="132"/>
        <v>0.21550000000000002</v>
      </c>
      <c r="AD85" s="8">
        <f>IFERROR(AVERAGE((U85-T85)/T85,(V85-U85)/U85,(W85-V85)/V85),"")</f>
        <v>1.7921141356782706E-2</v>
      </c>
      <c r="AE85" s="782">
        <v>0.03</v>
      </c>
    </row>
    <row r="86" spans="1:33">
      <c r="B86" s="72" t="s">
        <v>533</v>
      </c>
      <c r="C86" s="612">
        <f t="shared" ref="C86:K86" si="139">SUM(C82:C85)</f>
        <v>0</v>
      </c>
      <c r="D86" s="612">
        <f t="shared" si="139"/>
        <v>0</v>
      </c>
      <c r="E86" s="612">
        <f t="shared" si="139"/>
        <v>0</v>
      </c>
      <c r="F86" s="612">
        <f t="shared" si="139"/>
        <v>0</v>
      </c>
      <c r="G86" s="612">
        <f t="shared" si="139"/>
        <v>0</v>
      </c>
      <c r="H86" s="612">
        <f t="shared" si="139"/>
        <v>0</v>
      </c>
      <c r="I86" s="612">
        <f t="shared" si="139"/>
        <v>0</v>
      </c>
      <c r="J86" s="612">
        <f t="shared" si="139"/>
        <v>0</v>
      </c>
      <c r="K86" s="612">
        <f t="shared" si="139"/>
        <v>0</v>
      </c>
      <c r="L86" s="612">
        <f t="shared" ref="L86" si="140">SUM(L82:L85)</f>
        <v>0</v>
      </c>
      <c r="M86" s="612">
        <f t="shared" ref="M86:R86" si="141">SUM(M82:M85)</f>
        <v>0</v>
      </c>
      <c r="N86" s="612">
        <f t="shared" ref="N86:O86" si="142">SUM(N82:N85)</f>
        <v>0</v>
      </c>
      <c r="O86" s="612">
        <f t="shared" si="142"/>
        <v>0</v>
      </c>
      <c r="P86" s="612">
        <f t="shared" si="141"/>
        <v>0</v>
      </c>
      <c r="Q86" s="612">
        <f t="shared" si="141"/>
        <v>0</v>
      </c>
      <c r="R86" s="612">
        <f t="shared" si="141"/>
        <v>0</v>
      </c>
      <c r="S86" s="612">
        <f t="shared" ref="S86" si="143">SUM(S82:S85)</f>
        <v>0</v>
      </c>
      <c r="T86" s="612">
        <f>SUM(T82:T85)</f>
        <v>281019</v>
      </c>
      <c r="U86" s="612">
        <f>SUM(U82:U85)</f>
        <v>295277</v>
      </c>
      <c r="V86" s="612">
        <f t="shared" ref="V86:AB86" si="144">SUM(V82:V85)</f>
        <v>377140</v>
      </c>
      <c r="W86" s="612">
        <f t="shared" si="144"/>
        <v>375247</v>
      </c>
      <c r="X86" s="612">
        <f t="shared" si="144"/>
        <v>380077</v>
      </c>
      <c r="Y86" s="612">
        <f t="shared" si="144"/>
        <v>405785</v>
      </c>
      <c r="Z86" s="612">
        <f t="shared" si="144"/>
        <v>433300</v>
      </c>
      <c r="AA86" s="612">
        <f t="shared" si="144"/>
        <v>462753</v>
      </c>
      <c r="AB86" s="612">
        <f t="shared" si="144"/>
        <v>494284</v>
      </c>
      <c r="AC86" s="987">
        <f t="shared" si="132"/>
        <v>0.31722305574728105</v>
      </c>
      <c r="AD86" s="8"/>
      <c r="AE86" s="782"/>
    </row>
    <row r="87" spans="1:33">
      <c r="B87" s="112"/>
      <c r="C87" s="113"/>
      <c r="D87" s="113"/>
      <c r="E87" s="113"/>
      <c r="F87" s="113"/>
      <c r="G87" s="113"/>
      <c r="H87" s="113"/>
      <c r="I87" s="113"/>
      <c r="J87" s="127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988"/>
      <c r="AD87" s="8"/>
      <c r="AE87" s="782"/>
    </row>
    <row r="88" spans="1:33">
      <c r="B88" s="12" t="s">
        <v>534</v>
      </c>
      <c r="C88" s="127"/>
      <c r="D88" s="127"/>
      <c r="E88" s="127"/>
      <c r="F88" s="127"/>
      <c r="G88" s="127"/>
      <c r="H88" s="127"/>
      <c r="I88" s="127"/>
      <c r="J88" s="110"/>
      <c r="K88" s="130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988"/>
      <c r="AD88" s="8"/>
      <c r="AE88" s="782"/>
    </row>
    <row r="89" spans="1:33">
      <c r="B89" s="14" t="s">
        <v>535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69">
        <v>0</v>
      </c>
      <c r="M89" s="169">
        <v>0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f>ROUND(R89*(1+$AE89),0)</f>
        <v>0</v>
      </c>
      <c r="T89" s="169">
        <v>777334</v>
      </c>
      <c r="U89" s="169">
        <v>843669</v>
      </c>
      <c r="V89" s="169">
        <v>891595</v>
      </c>
      <c r="W89" s="169">
        <v>1015532</v>
      </c>
      <c r="X89" s="169">
        <f>1074666</f>
        <v>1074666</v>
      </c>
      <c r="Y89" s="169">
        <f t="shared" ref="X89:AB91" si="145">ROUND(X89*(1+$AE89),0)</f>
        <v>1171386</v>
      </c>
      <c r="Z89" s="169">
        <f t="shared" si="145"/>
        <v>1276811</v>
      </c>
      <c r="AA89" s="169">
        <f t="shared" si="145"/>
        <v>1391724</v>
      </c>
      <c r="AB89" s="169">
        <f t="shared" si="145"/>
        <v>1516979</v>
      </c>
      <c r="AC89" s="987">
        <f t="shared" si="132"/>
        <v>0.4937776456084102</v>
      </c>
      <c r="AD89" s="8">
        <f t="shared" ref="AD89:AD91" si="146">IFERROR(AVERAGE((U89-T89)/T89,(V89-U89)/U89,(W89-V89)/V89),"")</f>
        <v>9.371637505212782E-2</v>
      </c>
      <c r="AE89" s="782">
        <v>0.09</v>
      </c>
      <c r="AF89" s="22"/>
    </row>
    <row r="90" spans="1:33">
      <c r="B90" s="81" t="s">
        <v>536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69">
        <v>0</v>
      </c>
      <c r="M90" s="169">
        <v>0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f>ROUND(R90*(1+$AE90),0)</f>
        <v>0</v>
      </c>
      <c r="T90" s="169">
        <v>1348685</v>
      </c>
      <c r="U90" s="169">
        <v>1412105</v>
      </c>
      <c r="V90" s="169">
        <v>1513917</v>
      </c>
      <c r="W90" s="169">
        <v>1613858</v>
      </c>
      <c r="X90" s="169">
        <v>1698556</v>
      </c>
      <c r="Y90" s="169">
        <f t="shared" si="145"/>
        <v>1868412</v>
      </c>
      <c r="Z90" s="169">
        <f t="shared" si="145"/>
        <v>2055253</v>
      </c>
      <c r="AA90" s="169">
        <f t="shared" si="145"/>
        <v>2260778</v>
      </c>
      <c r="AB90" s="169">
        <f t="shared" si="145"/>
        <v>2486856</v>
      </c>
      <c r="AC90" s="987">
        <f t="shared" si="132"/>
        <v>0.54093854601829894</v>
      </c>
      <c r="AD90" s="8">
        <f t="shared" si="146"/>
        <v>6.1712628056098638E-2</v>
      </c>
      <c r="AE90" s="782">
        <v>0.1</v>
      </c>
    </row>
    <row r="91" spans="1:33">
      <c r="B91" s="14" t="s">
        <v>537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69">
        <v>0</v>
      </c>
      <c r="M91" s="169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f>ROUND(R91*(1+$AE91),0)</f>
        <v>0</v>
      </c>
      <c r="T91" s="169">
        <v>180000</v>
      </c>
      <c r="U91" s="169">
        <v>190000</v>
      </c>
      <c r="V91" s="169">
        <v>195000</v>
      </c>
      <c r="W91" s="169">
        <v>200000</v>
      </c>
      <c r="X91" s="169">
        <f t="shared" si="145"/>
        <v>208000</v>
      </c>
      <c r="Y91" s="169">
        <f t="shared" si="145"/>
        <v>216320</v>
      </c>
      <c r="Z91" s="169">
        <f t="shared" si="145"/>
        <v>224973</v>
      </c>
      <c r="AA91" s="169">
        <f t="shared" si="145"/>
        <v>233972</v>
      </c>
      <c r="AB91" s="169">
        <f t="shared" si="145"/>
        <v>243331</v>
      </c>
      <c r="AC91" s="987">
        <f t="shared" si="132"/>
        <v>0.21665500000000004</v>
      </c>
      <c r="AD91" s="8">
        <f t="shared" si="146"/>
        <v>3.5837456890088465E-2</v>
      </c>
      <c r="AE91" s="782">
        <v>0.04</v>
      </c>
      <c r="AF91" s="122"/>
      <c r="AG91" s="122"/>
    </row>
    <row r="92" spans="1:33" s="122" customFormat="1">
      <c r="A92" s="744"/>
      <c r="B92" s="120" t="s">
        <v>538</v>
      </c>
      <c r="C92" s="611">
        <f t="shared" ref="C92:V92" si="147">SUM(C89:C91)</f>
        <v>0</v>
      </c>
      <c r="D92" s="611">
        <f t="shared" si="147"/>
        <v>0</v>
      </c>
      <c r="E92" s="611">
        <f t="shared" si="147"/>
        <v>0</v>
      </c>
      <c r="F92" s="611">
        <f t="shared" si="147"/>
        <v>0</v>
      </c>
      <c r="G92" s="611">
        <f t="shared" si="147"/>
        <v>0</v>
      </c>
      <c r="H92" s="611">
        <f t="shared" si="147"/>
        <v>0</v>
      </c>
      <c r="I92" s="611">
        <f t="shared" si="147"/>
        <v>0</v>
      </c>
      <c r="J92" s="611">
        <f t="shared" si="147"/>
        <v>0</v>
      </c>
      <c r="K92" s="611">
        <f t="shared" si="147"/>
        <v>0</v>
      </c>
      <c r="L92" s="611">
        <f t="shared" si="147"/>
        <v>0</v>
      </c>
      <c r="M92" s="611">
        <f t="shared" si="147"/>
        <v>0</v>
      </c>
      <c r="N92" s="611">
        <f t="shared" si="147"/>
        <v>0</v>
      </c>
      <c r="O92" s="611">
        <f t="shared" si="147"/>
        <v>0</v>
      </c>
      <c r="P92" s="611">
        <f t="shared" si="147"/>
        <v>0</v>
      </c>
      <c r="Q92" s="611">
        <f t="shared" si="147"/>
        <v>0</v>
      </c>
      <c r="R92" s="611">
        <f t="shared" si="147"/>
        <v>0</v>
      </c>
      <c r="S92" s="611">
        <f t="shared" si="147"/>
        <v>0</v>
      </c>
      <c r="T92" s="611">
        <f t="shared" si="147"/>
        <v>2306019</v>
      </c>
      <c r="U92" s="611">
        <f t="shared" si="147"/>
        <v>2445774</v>
      </c>
      <c r="V92" s="611">
        <f t="shared" si="147"/>
        <v>2600512</v>
      </c>
      <c r="W92" s="611">
        <f t="shared" ref="W92:X92" si="148">SUM(W89:W91)</f>
        <v>2829390</v>
      </c>
      <c r="X92" s="611">
        <f t="shared" si="148"/>
        <v>2981222</v>
      </c>
      <c r="Y92" s="611">
        <f t="shared" ref="Y92:Z92" si="149">SUM(Y89:Y91)</f>
        <v>3256118</v>
      </c>
      <c r="Z92" s="611">
        <f t="shared" si="149"/>
        <v>3557037</v>
      </c>
      <c r="AA92" s="611">
        <f t="shared" ref="AA92:AB92" si="150">SUM(AA89:AA91)</f>
        <v>3886474</v>
      </c>
      <c r="AB92" s="611">
        <f t="shared" si="150"/>
        <v>4247166</v>
      </c>
      <c r="AC92" s="987">
        <f t="shared" si="132"/>
        <v>0.50108892729528276</v>
      </c>
      <c r="AD92" s="8"/>
      <c r="AE92" s="782"/>
      <c r="AF92" s="589"/>
      <c r="AG92" s="589"/>
    </row>
    <row r="93" spans="1:33" s="589" customFormat="1">
      <c r="A93" s="745"/>
      <c r="B93" s="588"/>
      <c r="C93" s="393"/>
      <c r="D93" s="393"/>
      <c r="E93" s="393"/>
      <c r="F93" s="393"/>
      <c r="G93" s="393"/>
      <c r="H93" s="393"/>
      <c r="I93" s="393"/>
      <c r="J93" s="393"/>
      <c r="K93" s="394"/>
      <c r="L93" s="613"/>
      <c r="M93" s="613"/>
      <c r="N93" s="613"/>
      <c r="O93" s="613"/>
      <c r="P93" s="613"/>
      <c r="Q93" s="613"/>
      <c r="R93" s="613"/>
      <c r="S93" s="613"/>
      <c r="T93" s="613"/>
      <c r="U93" s="613"/>
      <c r="V93" s="613"/>
      <c r="W93" s="613"/>
      <c r="X93" s="613"/>
      <c r="Y93" s="613"/>
      <c r="Z93" s="613"/>
      <c r="AA93" s="613"/>
      <c r="AB93" s="613"/>
      <c r="AD93" s="111" t="str">
        <f t="shared" ref="AD93:AD122" si="151">IFERROR(AVERAGE((M94-L94)/L94,(N94-M94)/M94,(O94-N94)/N94,(P94-O94)/O94,(Q94-P94)/P94,(R94-Q94)/Q94),"")</f>
        <v/>
      </c>
      <c r="AE93" s="889"/>
      <c r="AF93" s="32"/>
      <c r="AG93" s="32"/>
    </row>
    <row r="94" spans="1:33">
      <c r="B94" s="12" t="s">
        <v>539</v>
      </c>
      <c r="C94" s="127"/>
      <c r="D94" s="127"/>
      <c r="E94" s="127"/>
      <c r="F94" s="127"/>
      <c r="G94" s="127"/>
      <c r="H94" s="127"/>
      <c r="I94" s="127"/>
      <c r="J94" s="110"/>
      <c r="K94" s="130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D94" s="111" t="str">
        <f t="shared" si="151"/>
        <v/>
      </c>
      <c r="AE94" s="887">
        <v>0</v>
      </c>
    </row>
    <row r="95" spans="1:33">
      <c r="B95" s="14" t="s">
        <v>540</v>
      </c>
      <c r="C95" s="131"/>
      <c r="D95" s="131"/>
      <c r="E95" s="131"/>
      <c r="F95" s="131"/>
      <c r="G95" s="131"/>
      <c r="H95" s="131"/>
      <c r="I95" s="131"/>
      <c r="J95" s="132"/>
      <c r="K95" s="561"/>
      <c r="L95" s="169"/>
      <c r="M95" s="169"/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f t="shared" ref="S95:Z96" si="152">ROUND(R95*(1+$AE94),0)</f>
        <v>0</v>
      </c>
      <c r="T95" s="169">
        <v>25000</v>
      </c>
      <c r="U95" s="169">
        <f t="shared" si="152"/>
        <v>25000</v>
      </c>
      <c r="V95" s="169">
        <f t="shared" si="152"/>
        <v>25000</v>
      </c>
      <c r="W95" s="169">
        <f t="shared" si="152"/>
        <v>25000</v>
      </c>
      <c r="X95" s="169">
        <f t="shared" si="152"/>
        <v>25000</v>
      </c>
      <c r="Y95" s="169">
        <f t="shared" si="152"/>
        <v>25000</v>
      </c>
      <c r="Z95" s="169">
        <f t="shared" si="152"/>
        <v>25000</v>
      </c>
      <c r="AA95" s="169">
        <f t="shared" ref="AA95:AB95" si="153">ROUND(Z95*(1+$AE94),0)</f>
        <v>25000</v>
      </c>
      <c r="AB95" s="169">
        <f t="shared" si="153"/>
        <v>25000</v>
      </c>
      <c r="AD95" s="111" t="str">
        <f t="shared" si="151"/>
        <v/>
      </c>
      <c r="AE95" s="887">
        <v>0</v>
      </c>
    </row>
    <row r="96" spans="1:33">
      <c r="B96" s="14" t="s">
        <v>541</v>
      </c>
      <c r="C96" s="131"/>
      <c r="D96" s="131"/>
      <c r="E96" s="131"/>
      <c r="F96" s="131"/>
      <c r="G96" s="131"/>
      <c r="H96" s="131"/>
      <c r="I96" s="131"/>
      <c r="J96" s="132"/>
      <c r="K96" s="561"/>
      <c r="L96" s="169"/>
      <c r="M96" s="169"/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f t="shared" si="152"/>
        <v>0</v>
      </c>
      <c r="T96" s="169">
        <f t="shared" si="152"/>
        <v>0</v>
      </c>
      <c r="U96" s="169">
        <f t="shared" si="152"/>
        <v>0</v>
      </c>
      <c r="V96" s="169">
        <v>125399</v>
      </c>
      <c r="W96" s="169">
        <v>149434</v>
      </c>
      <c r="X96" s="169">
        <v>149434</v>
      </c>
      <c r="Y96" s="169">
        <f t="shared" ref="Y96:AB96" si="154">X96*(1+$AE96)</f>
        <v>158400.04</v>
      </c>
      <c r="Z96" s="169">
        <f t="shared" si="154"/>
        <v>167904.04240000001</v>
      </c>
      <c r="AA96" s="169">
        <f t="shared" si="154"/>
        <v>177978.28494400001</v>
      </c>
      <c r="AB96" s="169">
        <f t="shared" si="154"/>
        <v>188656.98204064002</v>
      </c>
      <c r="AD96" s="8" t="str">
        <f t="shared" si="151"/>
        <v/>
      </c>
      <c r="AE96" s="887">
        <v>0.06</v>
      </c>
      <c r="AF96" s="22"/>
    </row>
    <row r="97" spans="1:33">
      <c r="A97" s="678" t="s">
        <v>142</v>
      </c>
      <c r="B97" s="581" t="s">
        <v>410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D97" s="8" t="str">
        <f t="shared" si="151"/>
        <v/>
      </c>
      <c r="AE97" s="887">
        <v>0</v>
      </c>
      <c r="AF97" s="22"/>
    </row>
    <row r="98" spans="1:33">
      <c r="B98" s="577" t="str">
        <f>+'Available Funds'!B12</f>
        <v>General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69"/>
      <c r="M98" s="169"/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f t="shared" ref="S98:Z105" si="155">ROUND(R98*(1+$AE97),0)</f>
        <v>0</v>
      </c>
      <c r="T98" s="169">
        <f t="shared" si="155"/>
        <v>0</v>
      </c>
      <c r="U98" s="169">
        <f t="shared" si="155"/>
        <v>0</v>
      </c>
      <c r="V98" s="169">
        <f t="shared" si="155"/>
        <v>0</v>
      </c>
      <c r="W98" s="169">
        <f t="shared" si="155"/>
        <v>0</v>
      </c>
      <c r="X98" s="169">
        <f t="shared" si="155"/>
        <v>0</v>
      </c>
      <c r="Y98" s="169">
        <f t="shared" si="155"/>
        <v>0</v>
      </c>
      <c r="Z98" s="169">
        <f t="shared" si="155"/>
        <v>0</v>
      </c>
      <c r="AA98" s="169">
        <f t="shared" ref="AA98:AB98" si="156">ROUND(Z98*(1+$AE97),0)</f>
        <v>0</v>
      </c>
      <c r="AB98" s="169">
        <f t="shared" si="156"/>
        <v>0</v>
      </c>
      <c r="AD98" s="8" t="str">
        <f t="shared" si="151"/>
        <v/>
      </c>
      <c r="AE98" s="887">
        <v>0</v>
      </c>
      <c r="AF98" s="22"/>
    </row>
    <row r="99" spans="1:33">
      <c r="B99" s="577" t="str">
        <f>+'Available Funds'!B13</f>
        <v>SBRHS Special Purpose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69"/>
      <c r="M99" s="169"/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f t="shared" si="155"/>
        <v>0</v>
      </c>
      <c r="T99" s="169">
        <f t="shared" si="155"/>
        <v>0</v>
      </c>
      <c r="U99" s="169">
        <f t="shared" si="155"/>
        <v>0</v>
      </c>
      <c r="V99" s="169">
        <f t="shared" si="155"/>
        <v>0</v>
      </c>
      <c r="W99" s="169">
        <f t="shared" si="155"/>
        <v>0</v>
      </c>
      <c r="X99" s="169">
        <f t="shared" si="155"/>
        <v>0</v>
      </c>
      <c r="Y99" s="169">
        <f t="shared" si="155"/>
        <v>0</v>
      </c>
      <c r="Z99" s="169">
        <f t="shared" si="155"/>
        <v>0</v>
      </c>
      <c r="AA99" s="169">
        <f t="shared" ref="AA99:AB99" si="157">ROUND(Z99*(1+$AE98),0)</f>
        <v>0</v>
      </c>
      <c r="AB99" s="169">
        <f t="shared" si="157"/>
        <v>0</v>
      </c>
      <c r="AD99" s="8" t="str">
        <f t="shared" si="151"/>
        <v/>
      </c>
      <c r="AE99" s="887">
        <v>0</v>
      </c>
      <c r="AF99" s="22"/>
    </row>
    <row r="100" spans="1:33">
      <c r="B100" s="577" t="str">
        <f>+'Available Funds'!B14</f>
        <v>#3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69"/>
      <c r="M100" s="169"/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f t="shared" si="155"/>
        <v>0</v>
      </c>
      <c r="T100" s="169">
        <f t="shared" si="155"/>
        <v>0</v>
      </c>
      <c r="U100" s="169">
        <f t="shared" si="155"/>
        <v>0</v>
      </c>
      <c r="V100" s="169">
        <f t="shared" si="155"/>
        <v>0</v>
      </c>
      <c r="W100" s="169">
        <f t="shared" si="155"/>
        <v>0</v>
      </c>
      <c r="X100" s="169"/>
      <c r="Y100" s="169"/>
      <c r="Z100" s="169">
        <v>0</v>
      </c>
      <c r="AA100" s="169">
        <f t="shared" ref="AA100:AB100" si="158">ROUND(Z100*(1+$AE99),0)</f>
        <v>0</v>
      </c>
      <c r="AB100" s="169">
        <f t="shared" si="158"/>
        <v>0</v>
      </c>
      <c r="AD100" s="8" t="str">
        <f t="shared" si="151"/>
        <v/>
      </c>
      <c r="AE100" s="887">
        <v>0</v>
      </c>
      <c r="AF100" s="22"/>
    </row>
    <row r="101" spans="1:33">
      <c r="B101" s="577" t="str">
        <f>+'Available Funds'!B15</f>
        <v>#4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69"/>
      <c r="M101" s="169"/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f t="shared" si="155"/>
        <v>0</v>
      </c>
      <c r="T101" s="169">
        <f t="shared" si="155"/>
        <v>0</v>
      </c>
      <c r="U101" s="169">
        <f t="shared" si="155"/>
        <v>0</v>
      </c>
      <c r="V101" s="169">
        <f t="shared" si="155"/>
        <v>0</v>
      </c>
      <c r="W101" s="169">
        <f t="shared" si="155"/>
        <v>0</v>
      </c>
      <c r="X101" s="169">
        <f t="shared" si="155"/>
        <v>0</v>
      </c>
      <c r="Y101" s="169">
        <f t="shared" si="155"/>
        <v>0</v>
      </c>
      <c r="Z101" s="169">
        <f t="shared" si="155"/>
        <v>0</v>
      </c>
      <c r="AA101" s="169">
        <f t="shared" ref="AA101:AB101" si="159">ROUND(Z101*(1+$AE100),0)</f>
        <v>0</v>
      </c>
      <c r="AB101" s="169">
        <f t="shared" si="159"/>
        <v>0</v>
      </c>
      <c r="AD101" s="8" t="str">
        <f t="shared" si="151"/>
        <v/>
      </c>
      <c r="AE101" s="887">
        <v>0</v>
      </c>
      <c r="AF101" s="22"/>
    </row>
    <row r="102" spans="1:33">
      <c r="B102" s="577" t="str">
        <f>+'Available Funds'!B16</f>
        <v>#5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69"/>
      <c r="M102" s="169"/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f t="shared" si="155"/>
        <v>0</v>
      </c>
      <c r="T102" s="169">
        <f t="shared" si="155"/>
        <v>0</v>
      </c>
      <c r="U102" s="169">
        <f t="shared" si="155"/>
        <v>0</v>
      </c>
      <c r="V102" s="169">
        <f t="shared" si="155"/>
        <v>0</v>
      </c>
      <c r="W102" s="169">
        <f t="shared" si="155"/>
        <v>0</v>
      </c>
      <c r="X102" s="169">
        <f t="shared" si="155"/>
        <v>0</v>
      </c>
      <c r="Y102" s="169">
        <f t="shared" si="155"/>
        <v>0</v>
      </c>
      <c r="Z102" s="169">
        <f t="shared" si="155"/>
        <v>0</v>
      </c>
      <c r="AA102" s="169">
        <f t="shared" ref="AA102:AB102" si="160">ROUND(Z102*(1+$AE101),0)</f>
        <v>0</v>
      </c>
      <c r="AB102" s="169">
        <f t="shared" si="160"/>
        <v>0</v>
      </c>
      <c r="AD102" s="8" t="str">
        <f t="shared" si="151"/>
        <v/>
      </c>
      <c r="AE102" s="887">
        <v>0</v>
      </c>
      <c r="AF102" s="22"/>
    </row>
    <row r="103" spans="1:33">
      <c r="B103" s="577" t="str">
        <f>+'Available Funds'!B17</f>
        <v>#6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f t="shared" si="155"/>
        <v>0</v>
      </c>
      <c r="T103" s="169">
        <f t="shared" si="155"/>
        <v>0</v>
      </c>
      <c r="U103" s="169">
        <f t="shared" si="155"/>
        <v>0</v>
      </c>
      <c r="V103" s="169">
        <f t="shared" si="155"/>
        <v>0</v>
      </c>
      <c r="W103" s="169">
        <f t="shared" si="155"/>
        <v>0</v>
      </c>
      <c r="X103" s="169">
        <f t="shared" si="155"/>
        <v>0</v>
      </c>
      <c r="Y103" s="169">
        <f t="shared" si="155"/>
        <v>0</v>
      </c>
      <c r="Z103" s="169">
        <f t="shared" si="155"/>
        <v>0</v>
      </c>
      <c r="AA103" s="169">
        <f t="shared" ref="AA103:AB103" si="161">ROUND(Z103*(1+$AE102),0)</f>
        <v>0</v>
      </c>
      <c r="AB103" s="169">
        <f t="shared" si="161"/>
        <v>0</v>
      </c>
      <c r="AD103" s="8" t="str">
        <f t="shared" si="151"/>
        <v/>
      </c>
      <c r="AE103" s="887">
        <v>0</v>
      </c>
      <c r="AF103" s="22"/>
    </row>
    <row r="104" spans="1:33" ht="12.75">
      <c r="A104" s="672" t="s">
        <v>217</v>
      </c>
      <c r="B104" s="369" t="s">
        <v>542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69"/>
      <c r="M104" s="169"/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f t="shared" si="155"/>
        <v>0</v>
      </c>
      <c r="T104" s="169">
        <f t="shared" si="155"/>
        <v>0</v>
      </c>
      <c r="U104" s="169">
        <f t="shared" si="155"/>
        <v>0</v>
      </c>
      <c r="V104" s="169">
        <f t="shared" si="155"/>
        <v>0</v>
      </c>
      <c r="W104" s="169">
        <f t="shared" si="155"/>
        <v>0</v>
      </c>
      <c r="X104" s="169">
        <f t="shared" si="155"/>
        <v>0</v>
      </c>
      <c r="Y104" s="169">
        <f t="shared" si="155"/>
        <v>0</v>
      </c>
      <c r="Z104" s="169">
        <f t="shared" si="155"/>
        <v>0</v>
      </c>
      <c r="AA104" s="169">
        <f t="shared" ref="AA104:AB104" si="162">ROUND(Z104*(1+$AE103),0)</f>
        <v>0</v>
      </c>
      <c r="AB104" s="169">
        <f t="shared" si="162"/>
        <v>0</v>
      </c>
      <c r="AD104" s="8" t="str">
        <f t="shared" si="151"/>
        <v/>
      </c>
      <c r="AE104" s="887">
        <v>0</v>
      </c>
    </row>
    <row r="105" spans="1:33" ht="12.75">
      <c r="B105" s="369" t="s">
        <v>426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69">
        <v>0</v>
      </c>
      <c r="M105" s="169">
        <v>0</v>
      </c>
      <c r="N105" s="169">
        <v>0</v>
      </c>
      <c r="O105" s="169">
        <v>0</v>
      </c>
      <c r="P105" s="169">
        <v>0</v>
      </c>
      <c r="Q105" s="169"/>
      <c r="R105" s="169">
        <v>0</v>
      </c>
      <c r="S105" s="169">
        <f t="shared" si="155"/>
        <v>0</v>
      </c>
      <c r="T105" s="169">
        <f t="shared" si="155"/>
        <v>0</v>
      </c>
      <c r="U105" s="169">
        <f t="shared" si="155"/>
        <v>0</v>
      </c>
      <c r="V105" s="169">
        <f t="shared" si="155"/>
        <v>0</v>
      </c>
      <c r="W105" s="169">
        <f t="shared" si="155"/>
        <v>0</v>
      </c>
      <c r="X105" s="169">
        <f t="shared" si="155"/>
        <v>0</v>
      </c>
      <c r="Y105" s="169">
        <f t="shared" si="155"/>
        <v>0</v>
      </c>
      <c r="Z105" s="169">
        <f t="shared" si="155"/>
        <v>0</v>
      </c>
      <c r="AA105" s="169">
        <f t="shared" ref="AA105:AB105" si="163">ROUND(Z105*(1+$AE104),0)</f>
        <v>0</v>
      </c>
      <c r="AB105" s="169">
        <f t="shared" si="163"/>
        <v>0</v>
      </c>
      <c r="AD105" s="8" t="str">
        <f t="shared" si="151"/>
        <v/>
      </c>
      <c r="AE105" s="888"/>
      <c r="AF105" s="122"/>
      <c r="AG105" s="122"/>
    </row>
    <row r="106" spans="1:33" s="122" customFormat="1">
      <c r="A106" s="744"/>
      <c r="B106" s="120" t="s">
        <v>543</v>
      </c>
      <c r="C106" s="121">
        <f t="shared" ref="C106:R106" si="164">SUM(C95:C105)</f>
        <v>0</v>
      </c>
      <c r="D106" s="121">
        <f t="shared" si="164"/>
        <v>0</v>
      </c>
      <c r="E106" s="121">
        <f t="shared" si="164"/>
        <v>0</v>
      </c>
      <c r="F106" s="121">
        <f t="shared" si="164"/>
        <v>0</v>
      </c>
      <c r="G106" s="121">
        <f t="shared" si="164"/>
        <v>0</v>
      </c>
      <c r="H106" s="121">
        <f t="shared" si="164"/>
        <v>0</v>
      </c>
      <c r="I106" s="121">
        <f t="shared" si="164"/>
        <v>0</v>
      </c>
      <c r="J106" s="121">
        <f t="shared" si="164"/>
        <v>0</v>
      </c>
      <c r="K106" s="121">
        <f t="shared" si="164"/>
        <v>0</v>
      </c>
      <c r="L106" s="611">
        <f t="shared" si="164"/>
        <v>0</v>
      </c>
      <c r="M106" s="611">
        <f t="shared" si="164"/>
        <v>0</v>
      </c>
      <c r="N106" s="611">
        <f t="shared" si="164"/>
        <v>0</v>
      </c>
      <c r="O106" s="611">
        <f t="shared" si="164"/>
        <v>0</v>
      </c>
      <c r="P106" s="611">
        <f t="shared" si="164"/>
        <v>0</v>
      </c>
      <c r="Q106" s="611">
        <f t="shared" si="164"/>
        <v>0</v>
      </c>
      <c r="R106" s="611">
        <f t="shared" si="164"/>
        <v>0</v>
      </c>
      <c r="S106" s="611">
        <f t="shared" ref="S106:V106" si="165">SUM(S95:S105)</f>
        <v>0</v>
      </c>
      <c r="T106" s="611">
        <f t="shared" si="165"/>
        <v>25000</v>
      </c>
      <c r="U106" s="611">
        <f t="shared" si="165"/>
        <v>25000</v>
      </c>
      <c r="V106" s="611">
        <f t="shared" si="165"/>
        <v>150399</v>
      </c>
      <c r="W106" s="611">
        <f t="shared" ref="W106:X106" si="166">SUM(W95:W105)</f>
        <v>174434</v>
      </c>
      <c r="X106" s="611">
        <f t="shared" si="166"/>
        <v>174434</v>
      </c>
      <c r="Y106" s="611">
        <f t="shared" ref="Y106:Z106" si="167">SUM(Y95:Y105)</f>
        <v>183400.04</v>
      </c>
      <c r="Z106" s="611">
        <f t="shared" si="167"/>
        <v>192904.04240000001</v>
      </c>
      <c r="AA106" s="611">
        <f t="shared" ref="AA106:AB106" si="168">SUM(AA95:AA105)</f>
        <v>202978.28494400001</v>
      </c>
      <c r="AB106" s="611">
        <f t="shared" si="168"/>
        <v>213656.98204064002</v>
      </c>
      <c r="AD106" s="8" t="str">
        <f t="shared" si="151"/>
        <v/>
      </c>
      <c r="AE106" s="888"/>
    </row>
    <row r="107" spans="1:33" s="122" customFormat="1" ht="9.75" customHeight="1">
      <c r="A107" s="74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D107" s="111" t="str">
        <f t="shared" si="151"/>
        <v/>
      </c>
      <c r="AE107" s="890"/>
      <c r="AF107" s="32"/>
      <c r="AG107" s="32"/>
    </row>
    <row r="108" spans="1:33">
      <c r="B108" s="12" t="s">
        <v>321</v>
      </c>
      <c r="C108" s="127"/>
      <c r="D108" s="127"/>
      <c r="E108" s="127"/>
      <c r="F108" s="127"/>
      <c r="G108" s="127"/>
      <c r="H108" s="127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D108" s="8">
        <f t="shared" si="151"/>
        <v>6.2469493724910764E-2</v>
      </c>
      <c r="AE108" s="866" t="s">
        <v>174</v>
      </c>
      <c r="AG108" s="49" t="s">
        <v>175</v>
      </c>
    </row>
    <row r="109" spans="1:33">
      <c r="B109" s="31" t="s">
        <v>544</v>
      </c>
      <c r="C109" s="611">
        <f>'State Aid'!C49</f>
        <v>0</v>
      </c>
      <c r="D109" s="611">
        <f>'State Aid'!D49</f>
        <v>0</v>
      </c>
      <c r="E109" s="611">
        <f>'State Aid'!E49</f>
        <v>0</v>
      </c>
      <c r="F109" s="611">
        <f>'State Aid'!F49</f>
        <v>0</v>
      </c>
      <c r="G109" s="611">
        <f>'State Aid'!G49</f>
        <v>221559</v>
      </c>
      <c r="H109" s="611">
        <f>'State Aid'!H49</f>
        <v>238138</v>
      </c>
      <c r="I109" s="611">
        <f>'State Aid'!I49</f>
        <v>175191</v>
      </c>
      <c r="J109" s="611">
        <f>'State Aid'!J49</f>
        <v>187734</v>
      </c>
      <c r="K109" s="611">
        <f>'State Aid'!K49</f>
        <v>178700</v>
      </c>
      <c r="L109" s="611">
        <f>'State Aid'!L49</f>
        <v>192600</v>
      </c>
      <c r="M109" s="611">
        <f>'State Aid'!M49</f>
        <v>200688</v>
      </c>
      <c r="N109" s="611">
        <f>'State Aid'!N49</f>
        <v>178618</v>
      </c>
      <c r="O109" s="611">
        <f>'State Aid'!O49</f>
        <v>197213</v>
      </c>
      <c r="P109" s="611">
        <f>'State Aid'!P49</f>
        <v>208858</v>
      </c>
      <c r="Q109" s="611">
        <f>'State Aid'!Q49</f>
        <v>238436</v>
      </c>
      <c r="R109" s="611">
        <f>'State Aid'!R49</f>
        <v>271346</v>
      </c>
      <c r="S109" s="611">
        <f>'State Aid'!S49</f>
        <v>276278</v>
      </c>
      <c r="T109" s="611">
        <f>'State Aid'!T49</f>
        <v>270176</v>
      </c>
      <c r="U109" s="611">
        <f>'State Aid'!U49</f>
        <v>256164</v>
      </c>
      <c r="V109" s="611">
        <f>'State Aid'!V49</f>
        <v>292128</v>
      </c>
      <c r="W109" s="611">
        <f>'State Aid'!W49</f>
        <v>260591.72500000001</v>
      </c>
      <c r="X109" s="611">
        <f>'State Aid'!X49</f>
        <v>267183</v>
      </c>
      <c r="Y109" s="611">
        <f>'State Aid'!Y49</f>
        <v>282442.78000000003</v>
      </c>
      <c r="Z109" s="611">
        <f>'State Aid'!Z49</f>
        <v>299868.97259999998</v>
      </c>
      <c r="AA109" s="611">
        <f>'State Aid'!AA49</f>
        <v>319870.67781700002</v>
      </c>
      <c r="AB109" s="611">
        <f>'State Aid'!AB49</f>
        <v>342938.09036806499</v>
      </c>
      <c r="AD109" s="111" t="str">
        <f t="shared" si="151"/>
        <v/>
      </c>
      <c r="AE109" s="782"/>
    </row>
    <row r="110" spans="1:33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D110" s="111" t="str">
        <f t="shared" si="151"/>
        <v/>
      </c>
      <c r="AE110" s="782"/>
    </row>
    <row r="111" spans="1:33">
      <c r="B111" s="112" t="s">
        <v>545</v>
      </c>
      <c r="C111" s="113"/>
      <c r="D111" s="113"/>
      <c r="E111" s="113"/>
      <c r="F111" s="113"/>
      <c r="G111" s="113"/>
      <c r="H111" s="113"/>
      <c r="I111" s="113"/>
      <c r="J111" s="133"/>
      <c r="K111" s="134"/>
      <c r="L111" s="134"/>
      <c r="AA111" s="46"/>
      <c r="AB111" s="46"/>
      <c r="AD111" s="8" t="str">
        <f t="shared" si="151"/>
        <v/>
      </c>
      <c r="AE111" s="782"/>
    </row>
    <row r="112" spans="1:33">
      <c r="B112" s="81" t="s">
        <v>546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69">
        <v>0</v>
      </c>
      <c r="M112" s="169">
        <v>0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169">
        <v>0</v>
      </c>
      <c r="V112" s="169">
        <v>0</v>
      </c>
      <c r="W112" s="169">
        <v>0</v>
      </c>
      <c r="X112" s="169">
        <v>0</v>
      </c>
      <c r="Y112" s="169">
        <v>0</v>
      </c>
      <c r="Z112" s="169">
        <v>0</v>
      </c>
      <c r="AA112" s="169">
        <v>0</v>
      </c>
      <c r="AB112" s="169">
        <v>0</v>
      </c>
      <c r="AD112" s="8">
        <f t="shared" si="151"/>
        <v>0.11983326989631893</v>
      </c>
      <c r="AE112" s="784" t="s">
        <v>547</v>
      </c>
      <c r="AG112" s="49" t="s">
        <v>548</v>
      </c>
    </row>
    <row r="113" spans="1:33">
      <c r="B113" s="135" t="s">
        <v>549</v>
      </c>
      <c r="C113" s="169">
        <f>Revenue!C18</f>
        <v>0</v>
      </c>
      <c r="D113" s="169">
        <f>Revenue!D18</f>
        <v>0</v>
      </c>
      <c r="E113" s="169">
        <f>Revenue!E18</f>
        <v>0</v>
      </c>
      <c r="F113" s="169">
        <f>Revenue!F18</f>
        <v>0</v>
      </c>
      <c r="G113" s="169">
        <f>Revenue!G18</f>
        <v>107562</v>
      </c>
      <c r="H113" s="169">
        <f>Revenue!H18</f>
        <v>121499</v>
      </c>
      <c r="I113" s="169">
        <f>Revenue!I18</f>
        <v>123536</v>
      </c>
      <c r="J113" s="169">
        <f>Revenue!J18</f>
        <v>204500</v>
      </c>
      <c r="K113" s="169">
        <f>Revenue!K18</f>
        <v>273794</v>
      </c>
      <c r="L113" s="169">
        <f>Revenue!L18</f>
        <v>347100</v>
      </c>
      <c r="M113" s="169">
        <f>Revenue!M18</f>
        <v>404350</v>
      </c>
      <c r="N113" s="169">
        <f>Revenue!N18</f>
        <v>528389</v>
      </c>
      <c r="O113" s="169">
        <f>Revenue!O18</f>
        <v>537675</v>
      </c>
      <c r="P113" s="169">
        <f>Revenue!P18</f>
        <v>511037</v>
      </c>
      <c r="Q113" s="169">
        <f>Revenue!Q18</f>
        <v>530693</v>
      </c>
      <c r="R113" s="169">
        <f>Revenue!R18</f>
        <v>658487</v>
      </c>
      <c r="S113" s="169">
        <f>Revenue!S18</f>
        <v>692052</v>
      </c>
      <c r="T113" s="169">
        <f>Revenue!T18</f>
        <v>674588</v>
      </c>
      <c r="U113" s="169">
        <f>Revenue!U18</f>
        <v>761434</v>
      </c>
      <c r="V113" s="169">
        <f>Revenue!V18</f>
        <v>922857</v>
      </c>
      <c r="W113" s="169">
        <f>Revenue!W18</f>
        <v>992243</v>
      </c>
      <c r="X113" s="169">
        <f>Revenue!X18</f>
        <v>1172178</v>
      </c>
      <c r="Y113" s="169">
        <f>Revenue!Y18</f>
        <v>1265762.6600000001</v>
      </c>
      <c r="Z113" s="169">
        <f>Revenue!Z18</f>
        <v>1366820.8222000003</v>
      </c>
      <c r="AA113" s="169">
        <f>Revenue!AA18</f>
        <v>1475949.4378340004</v>
      </c>
      <c r="AB113" s="169">
        <f>Revenue!AB18</f>
        <v>1593793.1492087806</v>
      </c>
      <c r="AD113" s="8">
        <f t="shared" si="151"/>
        <v>6.866287161221156E-2</v>
      </c>
      <c r="AE113" s="867" t="s">
        <v>163</v>
      </c>
      <c r="AG113" s="49" t="s">
        <v>164</v>
      </c>
    </row>
    <row r="114" spans="1:33">
      <c r="B114" s="81" t="s">
        <v>550</v>
      </c>
      <c r="C114" s="169">
        <f>'Tax Levy'!C46</f>
        <v>71860.44</v>
      </c>
      <c r="D114" s="169">
        <f>'Tax Levy'!D46</f>
        <v>76981.52</v>
      </c>
      <c r="E114" s="169">
        <f>'Tax Levy'!E46</f>
        <v>56668.74</v>
      </c>
      <c r="F114" s="169">
        <f>'Tax Levy'!F46</f>
        <v>93125.96</v>
      </c>
      <c r="G114" s="169">
        <f>'Tax Levy'!G46</f>
        <v>68772.34</v>
      </c>
      <c r="H114" s="169">
        <f>'Tax Levy'!H46</f>
        <v>64247.65</v>
      </c>
      <c r="I114" s="169">
        <f>'Tax Levy'!I46</f>
        <v>72009.78</v>
      </c>
      <c r="J114" s="169">
        <f>'Tax Levy'!J46</f>
        <v>78824</v>
      </c>
      <c r="K114" s="169">
        <f>'Tax Levy'!K46</f>
        <v>83112.350000000006</v>
      </c>
      <c r="L114" s="169">
        <f>'Tax Levy'!L46</f>
        <v>82279.7</v>
      </c>
      <c r="M114" s="169">
        <f>'Tax Levy'!M46</f>
        <v>77330.7</v>
      </c>
      <c r="N114" s="169">
        <f>'Tax Levy'!N46</f>
        <v>79988.320000000007</v>
      </c>
      <c r="O114" s="169">
        <f>'Tax Levy'!O46</f>
        <v>90688.14</v>
      </c>
      <c r="P114" s="169">
        <f>'Tax Levy'!P46</f>
        <v>103579.03</v>
      </c>
      <c r="Q114" s="169">
        <f>'Tax Levy'!Q46</f>
        <v>107736.83</v>
      </c>
      <c r="R114" s="169">
        <f>'Tax Levy'!R46</f>
        <v>120848.93</v>
      </c>
      <c r="S114" s="169">
        <f>'Tax Levy'!S46</f>
        <v>92134.11</v>
      </c>
      <c r="T114" s="169">
        <f>'Tax Levy'!T46</f>
        <v>117183.82</v>
      </c>
      <c r="U114" s="169">
        <f>'Tax Levy'!U46</f>
        <v>92778.15</v>
      </c>
      <c r="V114" s="169">
        <f>'Tax Levy'!V46</f>
        <v>98140.09</v>
      </c>
      <c r="W114" s="169">
        <f>'Tax Levy'!W46</f>
        <v>102066</v>
      </c>
      <c r="X114" s="169">
        <v>100000</v>
      </c>
      <c r="Y114" s="169">
        <f>'Tax Levy'!Y46</f>
        <v>110395</v>
      </c>
      <c r="Z114" s="169">
        <f>'Tax Levy'!Z46</f>
        <v>114811</v>
      </c>
      <c r="AA114" s="169">
        <f>'Tax Levy'!AA46</f>
        <v>119403</v>
      </c>
      <c r="AB114" s="169">
        <f>'Tax Levy'!AB46</f>
        <v>124179</v>
      </c>
      <c r="AD114" s="8" t="str">
        <f t="shared" si="151"/>
        <v/>
      </c>
      <c r="AE114" s="782"/>
    </row>
    <row r="115" spans="1:33">
      <c r="B115" s="81" t="s">
        <v>551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69">
        <v>0</v>
      </c>
      <c r="M115" s="169">
        <v>0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169">
        <v>0</v>
      </c>
      <c r="V115" s="169">
        <v>0</v>
      </c>
      <c r="W115" s="169">
        <v>0</v>
      </c>
      <c r="X115" s="169">
        <v>0</v>
      </c>
      <c r="Y115" s="169">
        <v>0</v>
      </c>
      <c r="Z115" s="169">
        <v>0</v>
      </c>
      <c r="AA115" s="169">
        <v>1</v>
      </c>
      <c r="AB115" s="169">
        <v>2</v>
      </c>
      <c r="AD115" s="8">
        <f t="shared" si="151"/>
        <v>0.10921045021806154</v>
      </c>
      <c r="AE115" s="782"/>
    </row>
    <row r="116" spans="1:33">
      <c r="B116" s="72" t="s">
        <v>552</v>
      </c>
      <c r="C116" s="611">
        <f t="shared" ref="C116:K116" si="169">SUM(C112:C115)</f>
        <v>71860.44</v>
      </c>
      <c r="D116" s="611">
        <f t="shared" si="169"/>
        <v>76981.52</v>
      </c>
      <c r="E116" s="611">
        <f t="shared" si="169"/>
        <v>56668.74</v>
      </c>
      <c r="F116" s="611">
        <f t="shared" si="169"/>
        <v>93125.96</v>
      </c>
      <c r="G116" s="611">
        <f t="shared" si="169"/>
        <v>176334.34</v>
      </c>
      <c r="H116" s="611">
        <f t="shared" si="169"/>
        <v>185746.65</v>
      </c>
      <c r="I116" s="611">
        <f t="shared" si="169"/>
        <v>195545.78</v>
      </c>
      <c r="J116" s="611">
        <f t="shared" si="169"/>
        <v>283324</v>
      </c>
      <c r="K116" s="611">
        <f t="shared" si="169"/>
        <v>356906.35</v>
      </c>
      <c r="L116" s="611">
        <f>SUM(L112:L115)</f>
        <v>429379.7</v>
      </c>
      <c r="M116" s="611">
        <f>SUM(M112:M115)</f>
        <v>481680.7</v>
      </c>
      <c r="N116" s="611">
        <f>SUM(N112:N115)</f>
        <v>608377.32000000007</v>
      </c>
      <c r="O116" s="611">
        <f t="shared" ref="O116:S116" si="170">SUM(O112:O115)</f>
        <v>628363.14</v>
      </c>
      <c r="P116" s="611">
        <f t="shared" si="170"/>
        <v>614616.03</v>
      </c>
      <c r="Q116" s="611">
        <f t="shared" si="170"/>
        <v>638429.82999999996</v>
      </c>
      <c r="R116" s="611">
        <f t="shared" si="170"/>
        <v>779335.92999999993</v>
      </c>
      <c r="S116" s="611">
        <f t="shared" si="170"/>
        <v>784186.11</v>
      </c>
      <c r="T116" s="611">
        <f t="shared" ref="T116:U116" si="171">SUM(T112:T115)</f>
        <v>791771.82000000007</v>
      </c>
      <c r="U116" s="611">
        <f t="shared" si="171"/>
        <v>854212.15</v>
      </c>
      <c r="V116" s="611">
        <f t="shared" ref="V116:W116" si="172">SUM(V112:V115)</f>
        <v>1020997.09</v>
      </c>
      <c r="W116" s="611">
        <f t="shared" si="172"/>
        <v>1094309</v>
      </c>
      <c r="X116" s="611">
        <f t="shared" ref="X116:Y116" si="173">SUM(X112:X115)</f>
        <v>1272178</v>
      </c>
      <c r="Y116" s="611">
        <f t="shared" si="173"/>
        <v>1376157.6600000001</v>
      </c>
      <c r="Z116" s="611">
        <f t="shared" ref="Z116:AB116" si="174">SUM(Z112:Z115)</f>
        <v>1481631.8222000003</v>
      </c>
      <c r="AA116" s="611">
        <f t="shared" si="174"/>
        <v>1595353.4378340004</v>
      </c>
      <c r="AB116" s="611">
        <f t="shared" si="174"/>
        <v>1717974.1492087806</v>
      </c>
      <c r="AD116" s="111" t="str">
        <f t="shared" si="151"/>
        <v/>
      </c>
      <c r="AE116" s="782"/>
    </row>
    <row r="117" spans="1:33">
      <c r="B117" s="112"/>
      <c r="C117" s="113"/>
      <c r="D117" s="113"/>
      <c r="E117" s="113"/>
      <c r="F117" s="113"/>
      <c r="G117" s="113"/>
      <c r="H117" s="113"/>
      <c r="I117" s="113"/>
      <c r="J117" s="127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D117" s="111" t="str">
        <f t="shared" si="151"/>
        <v/>
      </c>
      <c r="AE117" s="782"/>
    </row>
    <row r="118" spans="1:33">
      <c r="B118" s="136" t="s">
        <v>553</v>
      </c>
      <c r="C118" s="113"/>
      <c r="D118" s="113"/>
      <c r="E118" s="113"/>
      <c r="F118" s="113"/>
      <c r="G118" s="113"/>
      <c r="H118" s="113"/>
      <c r="I118" s="113"/>
      <c r="J118" s="113"/>
      <c r="K118" s="114"/>
      <c r="L118" s="615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D118" s="111" t="str">
        <f t="shared" si="151"/>
        <v/>
      </c>
      <c r="AE118" s="781" t="s">
        <v>188</v>
      </c>
      <c r="AG118" s="32" t="s">
        <v>219</v>
      </c>
    </row>
    <row r="119" spans="1:33">
      <c r="B119" s="135" t="s">
        <v>405</v>
      </c>
      <c r="C119" s="124"/>
      <c r="D119" s="124"/>
      <c r="E119" s="124"/>
      <c r="F119" s="124"/>
      <c r="G119" s="124"/>
      <c r="H119" s="124"/>
      <c r="I119" s="124"/>
      <c r="J119" s="124"/>
      <c r="K119" s="118"/>
      <c r="L119" s="169"/>
      <c r="M119" s="169"/>
      <c r="N119" s="169">
        <v>0</v>
      </c>
      <c r="O119" s="169">
        <v>0</v>
      </c>
      <c r="P119" s="169">
        <v>0</v>
      </c>
      <c r="Q119" s="169">
        <v>0</v>
      </c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D119" s="111" t="str">
        <f t="shared" si="151"/>
        <v/>
      </c>
      <c r="AE119" s="782"/>
      <c r="AG119" s="32" t="s">
        <v>219</v>
      </c>
    </row>
    <row r="120" spans="1:33">
      <c r="B120" s="135" t="s">
        <v>554</v>
      </c>
      <c r="C120" s="124"/>
      <c r="D120" s="124"/>
      <c r="E120" s="124"/>
      <c r="F120" s="124"/>
      <c r="G120" s="124"/>
      <c r="H120" s="124"/>
      <c r="I120" s="124"/>
      <c r="J120" s="124"/>
      <c r="K120" s="118"/>
      <c r="L120" s="616"/>
      <c r="M120" s="616"/>
      <c r="N120" s="616">
        <v>0</v>
      </c>
      <c r="O120" s="616">
        <v>0</v>
      </c>
      <c r="P120" s="616">
        <v>0</v>
      </c>
      <c r="Q120" s="616">
        <v>0</v>
      </c>
      <c r="R120" s="616"/>
      <c r="S120" s="616"/>
      <c r="T120" s="616"/>
      <c r="U120" s="616"/>
      <c r="V120" s="616"/>
      <c r="W120" s="616"/>
      <c r="X120" s="616"/>
      <c r="Y120" s="616"/>
      <c r="Z120" s="616"/>
      <c r="AA120" s="616"/>
      <c r="AB120" s="616"/>
      <c r="AD120" s="111" t="str">
        <f t="shared" si="151"/>
        <v/>
      </c>
      <c r="AE120" s="783" t="s">
        <v>555</v>
      </c>
      <c r="AG120" s="49" t="s">
        <v>556</v>
      </c>
    </row>
    <row r="121" spans="1:33">
      <c r="A121" s="672" t="s">
        <v>220</v>
      </c>
      <c r="B121" s="135" t="s">
        <v>557</v>
      </c>
      <c r="C121" s="616"/>
      <c r="D121" s="616">
        <f>+CIP!D48</f>
        <v>0</v>
      </c>
      <c r="E121" s="616">
        <f>+CIP!E48</f>
        <v>0</v>
      </c>
      <c r="F121" s="616">
        <f>+CIP!F48</f>
        <v>0</v>
      </c>
      <c r="G121" s="616">
        <f>+CIP!G48</f>
        <v>0</v>
      </c>
      <c r="H121" s="616">
        <f>+CIP!H48</f>
        <v>0</v>
      </c>
      <c r="I121" s="616">
        <f>+CIP!I48</f>
        <v>0</v>
      </c>
      <c r="J121" s="616">
        <f>+CIP!J48</f>
        <v>0</v>
      </c>
      <c r="K121" s="616">
        <f>+CIP!K48</f>
        <v>0</v>
      </c>
      <c r="L121" s="616">
        <f>+CIP!L48</f>
        <v>0</v>
      </c>
      <c r="M121" s="616">
        <f>+CIP!M48</f>
        <v>0</v>
      </c>
      <c r="N121" s="616">
        <f>+CIP!N48</f>
        <v>0</v>
      </c>
      <c r="O121" s="616">
        <f>+CIP!O48</f>
        <v>0</v>
      </c>
      <c r="P121" s="616">
        <f>+CIP!P48</f>
        <v>0</v>
      </c>
      <c r="Q121" s="616">
        <f>+CIP!Q48</f>
        <v>0</v>
      </c>
      <c r="R121" s="616">
        <f>+CIP!R48</f>
        <v>0</v>
      </c>
      <c r="S121" s="616">
        <f>+CIP!S48</f>
        <v>0</v>
      </c>
      <c r="T121" s="616">
        <f>+CIP!T48</f>
        <v>0</v>
      </c>
      <c r="U121" s="616">
        <f>+CIP!U48</f>
        <v>0</v>
      </c>
      <c r="V121" s="616">
        <f>+CIP!V48</f>
        <v>0</v>
      </c>
      <c r="W121" s="616">
        <f>+CIP!W48</f>
        <v>0</v>
      </c>
      <c r="X121" s="616">
        <f>+CIP!X48</f>
        <v>0</v>
      </c>
      <c r="Y121" s="616">
        <f>+CIP!Y48</f>
        <v>0</v>
      </c>
      <c r="Z121" s="616">
        <f>+CIP!AA48</f>
        <v>0</v>
      </c>
      <c r="AA121" s="616">
        <f>+CIP!AB48</f>
        <v>0</v>
      </c>
      <c r="AB121" s="616">
        <f>+CIP!AC48</f>
        <v>0</v>
      </c>
      <c r="AD121" s="111" t="str">
        <f t="shared" si="151"/>
        <v/>
      </c>
      <c r="AE121" s="782"/>
      <c r="AG121" s="32" t="s">
        <v>219</v>
      </c>
    </row>
    <row r="122" spans="1:33">
      <c r="A122" s="678" t="s">
        <v>222</v>
      </c>
      <c r="B122" s="135" t="s">
        <v>558</v>
      </c>
      <c r="C122" s="124"/>
      <c r="D122" s="124"/>
      <c r="E122" s="124"/>
      <c r="F122" s="124"/>
      <c r="G122" s="124"/>
      <c r="H122" s="124"/>
      <c r="I122" s="124"/>
      <c r="J122" s="124"/>
      <c r="K122" s="118"/>
      <c r="L122" s="118"/>
      <c r="M122" s="118"/>
      <c r="N122" s="616">
        <v>0</v>
      </c>
      <c r="O122" s="616">
        <v>0</v>
      </c>
      <c r="P122" s="616">
        <v>0</v>
      </c>
      <c r="Q122" s="616">
        <v>0</v>
      </c>
      <c r="R122" s="616"/>
      <c r="S122" s="616"/>
      <c r="T122" s="616"/>
      <c r="U122" s="616"/>
      <c r="V122" s="616"/>
      <c r="W122" s="616"/>
      <c r="X122" s="616"/>
      <c r="Y122" s="616"/>
      <c r="Z122" s="616"/>
      <c r="AA122" s="616"/>
      <c r="AB122" s="616"/>
      <c r="AD122" s="111" t="str">
        <f t="shared" si="151"/>
        <v/>
      </c>
      <c r="AE122" s="781" t="s">
        <v>188</v>
      </c>
      <c r="AG122" s="49" t="s">
        <v>559</v>
      </c>
    </row>
    <row r="123" spans="1:33">
      <c r="A123" s="678" t="s">
        <v>226</v>
      </c>
      <c r="B123" s="84" t="s">
        <v>560</v>
      </c>
      <c r="C123" s="169">
        <f>SUM('Available Funds'!C12:C17)</f>
        <v>0</v>
      </c>
      <c r="D123" s="169">
        <f>SUM('Available Funds'!D12:D17)</f>
        <v>0</v>
      </c>
      <c r="E123" s="169">
        <f>SUM('Available Funds'!E12:E17)</f>
        <v>0</v>
      </c>
      <c r="F123" s="169">
        <f>SUM('Available Funds'!F12:F17)</f>
        <v>0</v>
      </c>
      <c r="G123" s="169">
        <f>SUM('Available Funds'!G12:G17)</f>
        <v>0</v>
      </c>
      <c r="H123" s="169">
        <f>SUM('Available Funds'!H12:H17)</f>
        <v>0</v>
      </c>
      <c r="I123" s="169">
        <f>SUM('Available Funds'!I12:I17)</f>
        <v>0</v>
      </c>
      <c r="J123" s="169">
        <f>SUM('Available Funds'!J12:J17)</f>
        <v>0</v>
      </c>
      <c r="K123" s="169">
        <f>SUM('Available Funds'!K12:K17)</f>
        <v>0</v>
      </c>
      <c r="L123" s="169">
        <f>SUM('Available Funds'!L12:L17)</f>
        <v>0</v>
      </c>
      <c r="M123" s="169">
        <f>SUM('Available Funds'!M12:M17)</f>
        <v>0</v>
      </c>
      <c r="N123" s="169">
        <f>SUM('Available Funds'!N12:N17)</f>
        <v>0</v>
      </c>
      <c r="O123" s="169">
        <f>SUM('Available Funds'!O12:O17)</f>
        <v>0</v>
      </c>
      <c r="P123" s="169">
        <f>SUM('Available Funds'!P12:P17)</f>
        <v>0</v>
      </c>
      <c r="Q123" s="169">
        <f>SUM('Available Funds'!Q12:Q17)</f>
        <v>0</v>
      </c>
      <c r="R123" s="169">
        <f>SUM('Available Funds'!R12:R17)</f>
        <v>0</v>
      </c>
      <c r="S123" s="169">
        <f>SUM('Available Funds'!S12:S17)</f>
        <v>0</v>
      </c>
      <c r="T123" s="169">
        <f>SUM('Available Funds'!T12:T17)</f>
        <v>0</v>
      </c>
      <c r="U123" s="169">
        <f>SUM('Available Funds'!U12:U17)</f>
        <v>477916</v>
      </c>
      <c r="V123" s="169">
        <f>SUM('Available Funds'!V12:V17)</f>
        <v>0</v>
      </c>
      <c r="W123" s="169">
        <f>SUM('Available Funds'!W12:W17)</f>
        <v>0</v>
      </c>
      <c r="X123" s="169">
        <f>SUM('Available Funds'!X12:X17)</f>
        <v>0</v>
      </c>
      <c r="Y123" s="169">
        <f>SUM('Available Funds'!Y12:Y17)</f>
        <v>0</v>
      </c>
      <c r="Z123" s="169">
        <f>SUM('Available Funds'!Z12:Z17)</f>
        <v>0</v>
      </c>
      <c r="AA123" s="169">
        <f>SUM('Available Funds'!AA12:AA17)</f>
        <v>0</v>
      </c>
      <c r="AB123" s="169">
        <f>SUM('Available Funds'!AB12:AB17)</f>
        <v>0</v>
      </c>
      <c r="AD123" s="111" t="str">
        <f t="shared" ref="AD123:AD129" si="175">IFERROR(AVERAGE((M124-L124)/L124,(N124-M124)/M124,(O124-N124)/N124,(P124-O124)/O124,(Q124-P124)/P124,(R124-Q124)/Q124),"")</f>
        <v/>
      </c>
      <c r="AE123" s="782"/>
      <c r="AG123" s="32" t="s">
        <v>219</v>
      </c>
    </row>
    <row r="124" spans="1:33">
      <c r="B124" s="84" t="s">
        <v>561</v>
      </c>
      <c r="C124" s="118"/>
      <c r="D124" s="118"/>
      <c r="E124" s="118"/>
      <c r="F124" s="118"/>
      <c r="G124" s="118"/>
      <c r="H124" s="118"/>
      <c r="I124" s="104"/>
      <c r="J124" s="104"/>
      <c r="K124" s="104"/>
      <c r="L124" s="104"/>
      <c r="M124" s="104"/>
      <c r="N124" s="169">
        <v>0</v>
      </c>
      <c r="O124" s="289">
        <v>1644012</v>
      </c>
      <c r="P124" s="289">
        <v>2555112</v>
      </c>
      <c r="Q124" s="289">
        <v>2618990</v>
      </c>
      <c r="R124" s="289">
        <v>2684465</v>
      </c>
      <c r="S124" s="289">
        <v>2751577</v>
      </c>
      <c r="T124" s="289">
        <v>2820366</v>
      </c>
      <c r="U124" s="289">
        <v>2890875</v>
      </c>
      <c r="V124" s="289">
        <f>2963146</f>
        <v>2963146</v>
      </c>
      <c r="W124" s="289">
        <f>V124*1.025</f>
        <v>3037224.65</v>
      </c>
      <c r="X124" s="289">
        <f>W124*1.025</f>
        <v>3113155.2662499994</v>
      </c>
      <c r="Y124" s="289">
        <f>X124*1.025</f>
        <v>3190984.1479062489</v>
      </c>
      <c r="Z124" s="289">
        <f>Y124*1.025</f>
        <v>3270758.7516039046</v>
      </c>
      <c r="AA124" s="289">
        <f t="shared" ref="AA124:AB124" si="176">Z124*1.025</f>
        <v>3352527.7203940018</v>
      </c>
      <c r="AB124" s="289">
        <f t="shared" si="176"/>
        <v>3436340.9134038514</v>
      </c>
      <c r="AD124" s="111" t="str">
        <f t="shared" si="175"/>
        <v/>
      </c>
      <c r="AE124" s="781" t="s">
        <v>188</v>
      </c>
      <c r="AF124" s="257"/>
      <c r="AG124" s="49" t="s">
        <v>562</v>
      </c>
    </row>
    <row r="125" spans="1:33">
      <c r="A125" s="678" t="s">
        <v>206</v>
      </c>
      <c r="B125" s="84" t="s">
        <v>563</v>
      </c>
      <c r="C125" s="616">
        <f>+'Available Funds'!C21</f>
        <v>0</v>
      </c>
      <c r="D125" s="616">
        <f>+'Available Funds'!D21</f>
        <v>0</v>
      </c>
      <c r="E125" s="616">
        <f>+'Available Funds'!E21</f>
        <v>0</v>
      </c>
      <c r="F125" s="616">
        <f>+'Available Funds'!F21</f>
        <v>0</v>
      </c>
      <c r="G125" s="616">
        <f>+'Available Funds'!G21</f>
        <v>0</v>
      </c>
      <c r="H125" s="616">
        <f>+'Available Funds'!H21</f>
        <v>0</v>
      </c>
      <c r="I125" s="616">
        <f>+'Available Funds'!I21</f>
        <v>0</v>
      </c>
      <c r="J125" s="616">
        <f>+'Available Funds'!J21</f>
        <v>0</v>
      </c>
      <c r="K125" s="616">
        <f>+'Available Funds'!K21</f>
        <v>0</v>
      </c>
      <c r="L125" s="616">
        <f>+'Available Funds'!L21</f>
        <v>0</v>
      </c>
      <c r="M125" s="616">
        <f>+'Available Funds'!M21</f>
        <v>0</v>
      </c>
      <c r="N125" s="616">
        <f>+'Available Funds'!N21</f>
        <v>0</v>
      </c>
      <c r="O125" s="616">
        <f>+'Available Funds'!O21</f>
        <v>0</v>
      </c>
      <c r="P125" s="616">
        <f>+'Available Funds'!P21</f>
        <v>0</v>
      </c>
      <c r="Q125" s="616">
        <f>+'Available Funds'!Q21</f>
        <v>0</v>
      </c>
      <c r="R125" s="616">
        <f>+'Available Funds'!R21</f>
        <v>0</v>
      </c>
      <c r="S125" s="616">
        <f>+'Available Funds'!S21</f>
        <v>0</v>
      </c>
      <c r="T125" s="616">
        <f>+'Available Funds'!T21</f>
        <v>22444</v>
      </c>
      <c r="U125" s="616">
        <f>+'Available Funds'!U21</f>
        <v>35000</v>
      </c>
      <c r="V125" s="616">
        <f>+'Available Funds'!V21</f>
        <v>0</v>
      </c>
      <c r="W125" s="616">
        <f>+'Available Funds'!W21</f>
        <v>0</v>
      </c>
      <c r="X125" s="616">
        <f>+'Available Funds'!X21</f>
        <v>0</v>
      </c>
      <c r="Y125" s="616">
        <f>+'Available Funds'!AA21</f>
        <v>0</v>
      </c>
      <c r="Z125" s="616">
        <v>0</v>
      </c>
      <c r="AA125" s="616"/>
      <c r="AB125" s="616"/>
      <c r="AD125" s="111" t="str">
        <f t="shared" si="175"/>
        <v/>
      </c>
      <c r="AE125" s="782"/>
    </row>
    <row r="126" spans="1:33">
      <c r="B126" s="72" t="s">
        <v>564</v>
      </c>
      <c r="C126" s="611">
        <f t="shared" ref="C126:K126" si="177">SUM(C119:C125)</f>
        <v>0</v>
      </c>
      <c r="D126" s="611">
        <f t="shared" si="177"/>
        <v>0</v>
      </c>
      <c r="E126" s="611">
        <f t="shared" si="177"/>
        <v>0</v>
      </c>
      <c r="F126" s="611">
        <f t="shared" si="177"/>
        <v>0</v>
      </c>
      <c r="G126" s="611">
        <f t="shared" si="177"/>
        <v>0</v>
      </c>
      <c r="H126" s="611">
        <f t="shared" si="177"/>
        <v>0</v>
      </c>
      <c r="I126" s="611">
        <f t="shared" si="177"/>
        <v>0</v>
      </c>
      <c r="J126" s="611">
        <f t="shared" si="177"/>
        <v>0</v>
      </c>
      <c r="K126" s="611">
        <f t="shared" si="177"/>
        <v>0</v>
      </c>
      <c r="L126" s="611">
        <f t="shared" ref="L126:V126" si="178">SUM(L119:L125)</f>
        <v>0</v>
      </c>
      <c r="M126" s="611">
        <f t="shared" si="178"/>
        <v>0</v>
      </c>
      <c r="N126" s="611">
        <f t="shared" si="178"/>
        <v>0</v>
      </c>
      <c r="O126" s="611">
        <f t="shared" si="178"/>
        <v>1644012</v>
      </c>
      <c r="P126" s="611">
        <f t="shared" si="178"/>
        <v>2555112</v>
      </c>
      <c r="Q126" s="611">
        <f t="shared" si="178"/>
        <v>2618990</v>
      </c>
      <c r="R126" s="611">
        <f t="shared" si="178"/>
        <v>2684465</v>
      </c>
      <c r="S126" s="611">
        <f t="shared" si="178"/>
        <v>2751577</v>
      </c>
      <c r="T126" s="611">
        <f t="shared" si="178"/>
        <v>2842810</v>
      </c>
      <c r="U126" s="611">
        <f t="shared" si="178"/>
        <v>3403791</v>
      </c>
      <c r="V126" s="611">
        <f t="shared" si="178"/>
        <v>2963146</v>
      </c>
      <c r="W126" s="611">
        <f t="shared" ref="W126:X126" si="179">SUM(W119:W125)</f>
        <v>3037224.65</v>
      </c>
      <c r="X126" s="611">
        <f t="shared" si="179"/>
        <v>3113155.2662499994</v>
      </c>
      <c r="Y126" s="611">
        <f t="shared" ref="Y126:Z126" si="180">SUM(Y119:Y125)</f>
        <v>3190984.1479062489</v>
      </c>
      <c r="Z126" s="611">
        <f t="shared" si="180"/>
        <v>3270758.7516039046</v>
      </c>
      <c r="AA126" s="611">
        <f t="shared" ref="AA126:AB126" si="181">SUM(AA119:AA125)</f>
        <v>3352527.7203940018</v>
      </c>
      <c r="AB126" s="611">
        <f t="shared" si="181"/>
        <v>3436340.9134038514</v>
      </c>
      <c r="AD126" s="395" t="str">
        <f t="shared" si="175"/>
        <v/>
      </c>
      <c r="AE126" s="891"/>
    </row>
    <row r="127" spans="1:33">
      <c r="B127" s="86"/>
      <c r="C127" s="393"/>
      <c r="D127" s="393"/>
      <c r="E127" s="393"/>
      <c r="F127" s="393"/>
      <c r="G127" s="393"/>
      <c r="H127" s="393"/>
      <c r="I127" s="393"/>
      <c r="J127" s="394"/>
      <c r="K127" s="394"/>
      <c r="L127" s="613"/>
      <c r="M127" s="613"/>
      <c r="N127" s="613"/>
      <c r="O127" s="613"/>
      <c r="P127" s="613"/>
      <c r="Q127" s="613"/>
      <c r="R127" s="613"/>
      <c r="S127" s="613"/>
      <c r="T127" s="613"/>
      <c r="U127" s="613"/>
      <c r="V127" s="613"/>
      <c r="W127" s="613"/>
      <c r="X127" s="613"/>
      <c r="Y127" s="613"/>
      <c r="Z127" s="613"/>
      <c r="AA127" s="613"/>
      <c r="AB127" s="613"/>
      <c r="AD127" s="111" t="str">
        <f t="shared" si="175"/>
        <v/>
      </c>
      <c r="AE127" s="892" t="s">
        <v>195</v>
      </c>
    </row>
    <row r="128" spans="1:33">
      <c r="B128" s="396" t="s">
        <v>565</v>
      </c>
      <c r="C128" s="616">
        <f>'Enterprise Funds'!C29+'Enterprise Funds'!C64</f>
        <v>0</v>
      </c>
      <c r="D128" s="616">
        <f>'Enterprise Funds'!D29+'Enterprise Funds'!D64</f>
        <v>0</v>
      </c>
      <c r="E128" s="616">
        <f>'Enterprise Funds'!E29+'Enterprise Funds'!E64</f>
        <v>0</v>
      </c>
      <c r="F128" s="616">
        <f>'Enterprise Funds'!F29+'Enterprise Funds'!F64</f>
        <v>0</v>
      </c>
      <c r="G128" s="616">
        <f>'Enterprise Funds'!G29+'Enterprise Funds'!G64</f>
        <v>0</v>
      </c>
      <c r="H128" s="616">
        <f>'Enterprise Funds'!H29+'Enterprise Funds'!H64</f>
        <v>0</v>
      </c>
      <c r="I128" s="616">
        <f>'Enterprise Funds'!I29+'Enterprise Funds'!I64</f>
        <v>0</v>
      </c>
      <c r="J128" s="616">
        <f>'Enterprise Funds'!J29+'Enterprise Funds'!J64</f>
        <v>0</v>
      </c>
      <c r="K128" s="616">
        <f>'Enterprise Funds'!K29+'Enterprise Funds'!K64</f>
        <v>0</v>
      </c>
      <c r="L128" s="616">
        <f>'Enterprise Funds'!L29+'Enterprise Funds'!L64</f>
        <v>0</v>
      </c>
      <c r="M128" s="616">
        <f>'Enterprise Funds'!M29+'Enterprise Funds'!M64</f>
        <v>0</v>
      </c>
      <c r="N128" s="616">
        <f>'Enterprise Funds'!N29+'Enterprise Funds'!N64</f>
        <v>0</v>
      </c>
      <c r="O128" s="616">
        <f>'Enterprise Funds'!O29+'Enterprise Funds'!O64</f>
        <v>0</v>
      </c>
      <c r="P128" s="616">
        <f>'Enterprise Funds'!P29+'Enterprise Funds'!P64</f>
        <v>0</v>
      </c>
      <c r="Q128" s="616">
        <f>'Enterprise Funds'!Q29+'Enterprise Funds'!Q64</f>
        <v>0</v>
      </c>
      <c r="R128" s="616">
        <f>'Enterprise Funds'!R29+'Enterprise Funds'!R64</f>
        <v>0</v>
      </c>
      <c r="S128" s="616">
        <f>'Enterprise Funds'!S29+'Enterprise Funds'!S64</f>
        <v>0</v>
      </c>
      <c r="T128" s="616">
        <f>'Enterprise Funds'!T29+'Enterprise Funds'!T64</f>
        <v>0</v>
      </c>
      <c r="U128" s="616">
        <f>'Enterprise Funds'!U29+'Enterprise Funds'!U64</f>
        <v>0</v>
      </c>
      <c r="V128" s="616">
        <f>'Enterprise Funds'!V29+'Enterprise Funds'!V64</f>
        <v>0</v>
      </c>
      <c r="W128" s="616">
        <f>'Enterprise Funds'!W29+'Enterprise Funds'!W64</f>
        <v>0</v>
      </c>
      <c r="X128" s="616">
        <f>'Enterprise Funds'!X29+'Enterprise Funds'!X64</f>
        <v>0</v>
      </c>
      <c r="Y128" s="616">
        <f>'Enterprise Funds'!Y29+'Enterprise Funds'!Y64</f>
        <v>0</v>
      </c>
      <c r="Z128" s="616">
        <f>'Enterprise Funds'!Z29+'Enterprise Funds'!Z64</f>
        <v>0</v>
      </c>
      <c r="AA128" s="616">
        <f>'Enterprise Funds'!AA29+'Enterprise Funds'!AA64</f>
        <v>0</v>
      </c>
      <c r="AB128" s="616">
        <f>'Enterprise Funds'!AB29+'Enterprise Funds'!AB64</f>
        <v>0</v>
      </c>
      <c r="AD128" s="111" t="str">
        <f t="shared" si="175"/>
        <v/>
      </c>
      <c r="AE128" s="782"/>
      <c r="AG128" s="197"/>
    </row>
    <row r="129" spans="1:33">
      <c r="B129" s="129"/>
      <c r="C129" s="61"/>
      <c r="D129" s="61"/>
      <c r="E129" s="61"/>
      <c r="F129" s="61"/>
      <c r="G129" s="61"/>
      <c r="H129" s="61"/>
      <c r="I129" s="61"/>
      <c r="J129" s="61"/>
      <c r="K129" s="61"/>
      <c r="L129" s="313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D129" s="111">
        <f t="shared" si="175"/>
        <v>0.47660875174668998</v>
      </c>
      <c r="AE129" s="782"/>
      <c r="AG129" s="197"/>
    </row>
    <row r="130" spans="1:33">
      <c r="B130" s="137" t="s">
        <v>566</v>
      </c>
      <c r="C130" s="612">
        <f t="shared" ref="C130:V130" si="182">C10+C26+C50+C57+C63+C69+C79+C92+C86+C106+C116+C109+C126+C128</f>
        <v>71860.44</v>
      </c>
      <c r="D130" s="612">
        <f t="shared" si="182"/>
        <v>76981.52</v>
      </c>
      <c r="E130" s="612">
        <f t="shared" si="182"/>
        <v>56668.74</v>
      </c>
      <c r="F130" s="612">
        <f t="shared" si="182"/>
        <v>93125.96</v>
      </c>
      <c r="G130" s="612">
        <f t="shared" si="182"/>
        <v>397893.33999999997</v>
      </c>
      <c r="H130" s="612">
        <f t="shared" si="182"/>
        <v>423884.65</v>
      </c>
      <c r="I130" s="612">
        <f t="shared" si="182"/>
        <v>370736.78</v>
      </c>
      <c r="J130" s="612">
        <f t="shared" si="182"/>
        <v>471058</v>
      </c>
      <c r="K130" s="612">
        <f t="shared" si="182"/>
        <v>535606.35</v>
      </c>
      <c r="L130" s="612">
        <f t="shared" si="182"/>
        <v>621979.69999999995</v>
      </c>
      <c r="M130" s="612">
        <f t="shared" si="182"/>
        <v>682368.7</v>
      </c>
      <c r="N130" s="612">
        <f t="shared" si="182"/>
        <v>786995.32000000007</v>
      </c>
      <c r="O130" s="612">
        <f t="shared" si="182"/>
        <v>2469588.14</v>
      </c>
      <c r="P130" s="612">
        <f t="shared" si="182"/>
        <v>3378586.0300000003</v>
      </c>
      <c r="Q130" s="612">
        <f t="shared" si="182"/>
        <v>3495855.83</v>
      </c>
      <c r="R130" s="612">
        <f t="shared" si="182"/>
        <v>3735146.9299999997</v>
      </c>
      <c r="S130" s="612">
        <f t="shared" si="182"/>
        <v>3812041.11</v>
      </c>
      <c r="T130" s="612">
        <f t="shared" si="182"/>
        <v>24472628.82</v>
      </c>
      <c r="U130" s="612">
        <f t="shared" si="182"/>
        <v>27062423.149999999</v>
      </c>
      <c r="V130" s="612">
        <f t="shared" si="182"/>
        <v>28052988.09</v>
      </c>
      <c r="W130" s="612">
        <f t="shared" ref="W130:X130" si="183">W10+W26+W50+W57+W63+W69+W79+W92+W86+W106+W116+W109+W126+W128</f>
        <v>29932146.375</v>
      </c>
      <c r="X130" s="612">
        <f t="shared" si="183"/>
        <v>35139934.60125</v>
      </c>
      <c r="Y130" s="612">
        <f t="shared" ref="Y130" si="184">Y10+Y26+Y50+Y57+Y63+Y69+Y79+Y92+Y86+Y106+Y116+Y109+Y126+Y128</f>
        <v>37693723.745904975</v>
      </c>
      <c r="Z130" s="612">
        <f>Z10+Z26+Z50+Z57+Z63+Z69+Z79+Z92+Z86+Z106+Z116+Z109+Z126+Z128</f>
        <v>39595641.767326236</v>
      </c>
      <c r="AA130" s="612">
        <f t="shared" ref="AA130:AB130" si="185">AA10+AA26+AA50+AA57+AA63+AA69+AA79+AA92+AA86+AA106+AA116+AA109+AA126+AA128</f>
        <v>41394332.959489681</v>
      </c>
      <c r="AB130" s="612">
        <f t="shared" si="185"/>
        <v>43369271.958146408</v>
      </c>
    </row>
    <row r="131" spans="1:33">
      <c r="B131" s="129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O131" s="138"/>
      <c r="P131" s="138"/>
      <c r="AD131" s="197"/>
    </row>
    <row r="132" spans="1:33">
      <c r="A132" s="678" t="s">
        <v>142</v>
      </c>
      <c r="B132" s="32" t="s">
        <v>567</v>
      </c>
    </row>
    <row r="133" spans="1:33">
      <c r="A133" s="672" t="s">
        <v>217</v>
      </c>
      <c r="B133" s="32" t="s">
        <v>568</v>
      </c>
    </row>
    <row r="134" spans="1:33">
      <c r="A134" s="672" t="s">
        <v>220</v>
      </c>
      <c r="B134" s="32" t="s">
        <v>569</v>
      </c>
    </row>
    <row r="135" spans="1:33">
      <c r="A135" s="678" t="s">
        <v>222</v>
      </c>
      <c r="B135" s="32" t="s">
        <v>570</v>
      </c>
    </row>
    <row r="136" spans="1:33">
      <c r="A136" s="678" t="s">
        <v>226</v>
      </c>
      <c r="B136" s="32" t="s">
        <v>571</v>
      </c>
    </row>
  </sheetData>
  <phoneticPr fontId="40" type="noConversion"/>
  <hyperlinks>
    <hyperlink ref="AE118" location="'Available Funds'!A1" display="See Available Funds" xr:uid="{00000000-0004-0000-0900-000003000000}"/>
    <hyperlink ref="AE35" location="Debt!A1" display="See Debt" xr:uid="{00000000-0004-0000-0900-00000D000000}"/>
    <hyperlink ref="AE120" location="CIP!A1" display="See CIP" xr:uid="{00000000-0004-0000-0900-00000E000000}"/>
    <hyperlink ref="AE122" location="'Available Funds'!A1" display="See Available Funds" xr:uid="{6C1A01C4-FEF8-48AD-B9BD-3CBD425E40BB}"/>
    <hyperlink ref="AE124" location="'Available Funds'!A1" display="See Available Funds" xr:uid="{1A3ED52D-3288-4EAB-B6E7-63875C38681E}"/>
    <hyperlink ref="AF6" location="COLA!A1" display="See COLA" xr:uid="{0790F0E2-5B33-45D8-8ADF-1E4B74CA7281}"/>
    <hyperlink ref="AE6" location="'Position Control'!A1" display="See Position Control" xr:uid="{00C1F731-7181-4E63-B0D4-1927A2FD4835}"/>
    <hyperlink ref="AF12" location="COLA!A1" display="See COLA" xr:uid="{AE0E362A-E4F2-4CDC-B9B0-632E5C825DC6}"/>
    <hyperlink ref="AE12" location="'Position Control'!A1" display="See Position Control" xr:uid="{AE16C3EF-B5A3-4C50-8141-8B8FE502440E}"/>
    <hyperlink ref="AF17" location="COLA!A1" display="See COLA" xr:uid="{C242D390-591D-4206-8654-A5EFDB58AB34}"/>
    <hyperlink ref="AE17" location="'Position Control'!A1" display="See Position Control" xr:uid="{41E76971-474B-4012-85C2-D2B18B2CD348}"/>
    <hyperlink ref="AF22" location="COLA!A1" display="See COLA" xr:uid="{E264F0D9-57B4-48D8-B57A-9C92CFD97E10}"/>
    <hyperlink ref="AE22" location="'Position Control'!A1" display="See Position Control" xr:uid="{AF5AD849-38F4-4586-860D-D39441F5771B}"/>
    <hyperlink ref="AF53" location="COLA!A1" display="See COLA" xr:uid="{22737383-A4EC-433D-8CAB-77411059AA72}"/>
    <hyperlink ref="AE52" location="'Position Control'!A1" display="See Position Control" xr:uid="{330DC9F0-704E-4A26-A92C-F53C7C1F53FA}"/>
    <hyperlink ref="AF59" location="COLA!A1" display="See COLA" xr:uid="{EC05E97B-3DEA-4B9C-B8E4-42AAEAF36B9A}"/>
    <hyperlink ref="AE59" location="'Position Control'!A1" display="See Position Control" xr:uid="{F78C525E-CA69-4181-B7F7-421751775B47}"/>
    <hyperlink ref="AF65" location="COLA!A1" display="See COLA" xr:uid="{6D4E3A8D-CB13-4DD9-A226-5CF948835BF1}"/>
    <hyperlink ref="AE65" location="'Position Control'!A1" display="See Position Control" xr:uid="{856E227B-D657-4A22-BCF6-88B09689B734}"/>
    <hyperlink ref="AE41" location="Debt!A1" display="See Debt" xr:uid="{ADFB45C1-E468-4AD1-A464-A66A353DE55B}"/>
    <hyperlink ref="AE46" location="Debt!A1" display="See Debt" xr:uid="{1B7E47FE-FD20-4946-93A1-6EC28B29AC23}"/>
    <hyperlink ref="AE71" location="Debt!A1" display="See Debt" xr:uid="{58A571B3-2241-4EDC-9983-7E627763103C}"/>
    <hyperlink ref="AE127" location="'Enterprise Funds'!A1" display="Enterprise Funds'!A1" xr:uid="{6FD4BDFA-8E38-41D3-A30B-1BFF1F93F448}"/>
    <hyperlink ref="AE108" location="'State Aid'!A1" display="See State Aid" xr:uid="{3F40B1B3-837E-4A88-88EF-03C8E533A452}"/>
    <hyperlink ref="AE113" location="Levy!A1" display="See Levy" xr:uid="{93E8E641-2D67-4146-BCC9-C4B2A4972852}"/>
    <hyperlink ref="AE112" location="Revenues!A1" display="See Revenues" xr:uid="{DE8F1053-C9E1-4353-B065-85AE1C77112D}"/>
  </hyperlinks>
  <pageMargins left="0.25" right="0.25" top="0.5" bottom="0.5" header="0.3" footer="0.3"/>
  <pageSetup scale="85" fitToHeight="3" orientation="landscape" r:id="rId1"/>
  <headerFooter>
    <oddFooter>&amp;L&amp;9&amp;A&amp;C&amp;10page &amp;P of &amp;N&amp;R&amp;9&amp;D</oddFooter>
  </headerFooter>
  <rowBreaks count="2" manualBreakCount="2">
    <brk id="51" max="25" man="1"/>
    <brk id="93" max="25" man="1"/>
  </rowBreaks>
  <ignoredErrors>
    <ignoredError sqref="AB131:AB135" unlockedFormula="1"/>
    <ignoredError sqref="R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749992370372631"/>
  </sheetPr>
  <dimension ref="A1:AG184"/>
  <sheetViews>
    <sheetView showGridLines="0" zoomScaleNormal="100" zoomScaleSheetLayoutView="100" workbookViewId="0">
      <pane xSplit="2" ySplit="5" topLeftCell="O126" activePane="bottomRight" state="frozen"/>
      <selection pane="bottomRight" activeCell="AA154" sqref="AA154"/>
      <selection pane="bottomLeft" activeCell="A7" sqref="A7"/>
      <selection pane="topRight" activeCell="C1" sqref="C1"/>
    </sheetView>
  </sheetViews>
  <sheetFormatPr defaultColWidth="8.75" defaultRowHeight="12"/>
  <cols>
    <col min="1" max="1" width="2.5" style="221" customWidth="1"/>
    <col min="2" max="2" width="26.625" style="4" bestFit="1" customWidth="1"/>
    <col min="3" max="13" width="6.625" style="13" customWidth="1"/>
    <col min="14" max="18" width="6.625" style="13" bestFit="1" customWidth="1"/>
    <col min="19" max="22" width="8.125" style="13" bestFit="1" customWidth="1"/>
    <col min="23" max="28" width="8.125" style="13" customWidth="1"/>
    <col min="29" max="29" width="1.625" style="13" customWidth="1"/>
    <col min="30" max="30" width="7.375" style="143" bestFit="1" customWidth="1"/>
    <col min="31" max="31" width="12.75" style="143" bestFit="1" customWidth="1"/>
    <col min="32" max="32" width="9" style="221" bestFit="1" customWidth="1"/>
    <col min="33" max="33" width="59.125" style="221" customWidth="1"/>
    <col min="34" max="37" width="10.125" style="4" bestFit="1" customWidth="1"/>
    <col min="38" max="38" width="9.75" style="4" customWidth="1"/>
    <col min="39" max="39" width="2.75" style="4" customWidth="1"/>
    <col min="40" max="40" width="7.375" style="4" bestFit="1" customWidth="1"/>
    <col min="41" max="16384" width="8.75" style="4"/>
  </cols>
  <sheetData>
    <row r="1" spans="1:33" s="41" customFormat="1">
      <c r="A1" s="214"/>
      <c r="B1" s="38" t="str">
        <f>Summary!B1</f>
        <v>Municipality of Berkley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2"/>
      <c r="AE1" s="42"/>
      <c r="AF1" s="214"/>
      <c r="AG1" s="214"/>
    </row>
    <row r="2" spans="1:33" s="41" customFormat="1">
      <c r="A2" s="214"/>
      <c r="B2" s="43" t="s">
        <v>68</v>
      </c>
      <c r="C2" s="44"/>
      <c r="D2" s="44"/>
      <c r="E2" s="44"/>
      <c r="F2" s="44"/>
      <c r="G2" s="44"/>
      <c r="H2" s="44"/>
      <c r="I2" s="44"/>
      <c r="J2" s="44"/>
      <c r="K2" s="4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2"/>
      <c r="AE2" s="42"/>
      <c r="AF2" s="214"/>
      <c r="AG2" s="214"/>
    </row>
    <row r="3" spans="1:33" ht="12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AD3" s="142"/>
    </row>
    <row r="4" spans="1:33" ht="12" customHeight="1">
      <c r="C4" s="144" t="s">
        <v>82</v>
      </c>
      <c r="D4" s="144" t="s">
        <v>83</v>
      </c>
      <c r="E4" s="144" t="s">
        <v>84</v>
      </c>
      <c r="F4" s="144" t="s">
        <v>85</v>
      </c>
      <c r="G4" s="144" t="s">
        <v>86</v>
      </c>
      <c r="H4" s="144" t="s">
        <v>87</v>
      </c>
      <c r="I4" s="144" t="s">
        <v>88</v>
      </c>
      <c r="J4" s="144" t="s">
        <v>89</v>
      </c>
      <c r="K4" s="144" t="s">
        <v>90</v>
      </c>
      <c r="L4" s="144" t="s">
        <v>91</v>
      </c>
      <c r="M4" s="144" t="s">
        <v>92</v>
      </c>
      <c r="N4" s="144" t="s">
        <v>93</v>
      </c>
      <c r="O4" s="144" t="s">
        <v>94</v>
      </c>
      <c r="P4" s="144" t="s">
        <v>95</v>
      </c>
      <c r="Q4" s="144" t="s">
        <v>96</v>
      </c>
      <c r="R4" s="144" t="s">
        <v>97</v>
      </c>
      <c r="S4" s="144" t="s">
        <v>98</v>
      </c>
      <c r="T4" s="144" t="s">
        <v>99</v>
      </c>
      <c r="U4" s="144" t="s">
        <v>100</v>
      </c>
      <c r="V4" s="144" t="s">
        <v>101</v>
      </c>
      <c r="W4" s="144" t="s">
        <v>102</v>
      </c>
      <c r="X4" s="144" t="s">
        <v>103</v>
      </c>
      <c r="Y4" s="144" t="s">
        <v>104</v>
      </c>
      <c r="Z4" s="144" t="s">
        <v>105</v>
      </c>
      <c r="AA4" s="144" t="s">
        <v>106</v>
      </c>
      <c r="AB4" s="144" t="s">
        <v>107</v>
      </c>
      <c r="AD4" s="111" t="s">
        <v>212</v>
      </c>
      <c r="AE4" s="260" t="s">
        <v>157</v>
      </c>
    </row>
    <row r="5" spans="1:33" ht="12" customHeight="1">
      <c r="C5" s="144" t="s">
        <v>158</v>
      </c>
      <c r="D5" s="144" t="s">
        <v>158</v>
      </c>
      <c r="E5" s="144" t="s">
        <v>158</v>
      </c>
      <c r="F5" s="144" t="s">
        <v>158</v>
      </c>
      <c r="G5" s="144" t="s">
        <v>158</v>
      </c>
      <c r="H5" s="144" t="s">
        <v>158</v>
      </c>
      <c r="I5" s="144" t="s">
        <v>158</v>
      </c>
      <c r="J5" s="144" t="s">
        <v>158</v>
      </c>
      <c r="K5" s="144" t="s">
        <v>158</v>
      </c>
      <c r="L5" s="144" t="s">
        <v>158</v>
      </c>
      <c r="M5" s="144" t="s">
        <v>158</v>
      </c>
      <c r="N5" s="144" t="s">
        <v>158</v>
      </c>
      <c r="O5" s="144" t="s">
        <v>158</v>
      </c>
      <c r="P5" s="144" t="s">
        <v>158</v>
      </c>
      <c r="Q5" s="144" t="s">
        <v>158</v>
      </c>
      <c r="R5" s="144" t="s">
        <v>158</v>
      </c>
      <c r="S5" s="144" t="s">
        <v>158</v>
      </c>
      <c r="T5" s="144" t="s">
        <v>158</v>
      </c>
      <c r="U5" s="144" t="s">
        <v>158</v>
      </c>
      <c r="V5" s="144" t="s">
        <v>159</v>
      </c>
      <c r="W5" s="144" t="s">
        <v>159</v>
      </c>
      <c r="X5" s="144" t="s">
        <v>159</v>
      </c>
      <c r="Y5" s="144" t="s">
        <v>159</v>
      </c>
      <c r="Z5" s="144" t="s">
        <v>159</v>
      </c>
      <c r="AA5" s="144" t="s">
        <v>159</v>
      </c>
      <c r="AB5" s="144" t="s">
        <v>159</v>
      </c>
      <c r="AC5" s="144"/>
      <c r="AD5" s="111" t="s">
        <v>213</v>
      </c>
      <c r="AE5" s="260" t="s">
        <v>160</v>
      </c>
    </row>
    <row r="6" spans="1:33" ht="12" customHeight="1">
      <c r="B6" s="11" t="s">
        <v>572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11"/>
      <c r="AE6" s="893"/>
      <c r="AG6" s="221" t="s">
        <v>573</v>
      </c>
    </row>
    <row r="7" spans="1:33" s="148" customFormat="1" ht="12" customHeight="1">
      <c r="A7" s="223" t="s">
        <v>142</v>
      </c>
      <c r="B7" s="145" t="s">
        <v>574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7"/>
      <c r="AD7" s="142"/>
      <c r="AE7" s="894"/>
      <c r="AF7" s="674"/>
      <c r="AG7" s="674"/>
    </row>
    <row r="8" spans="1:33" ht="12" customHeight="1">
      <c r="B8" s="149" t="s">
        <v>575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f t="shared" ref="S8:W8" si="0">S28+S29-S9-S11-S12</f>
        <v>0</v>
      </c>
      <c r="T8" s="204">
        <f t="shared" si="0"/>
        <v>0</v>
      </c>
      <c r="U8" s="204">
        <f t="shared" si="0"/>
        <v>0</v>
      </c>
      <c r="V8" s="204">
        <f t="shared" si="0"/>
        <v>0</v>
      </c>
      <c r="W8" s="204">
        <f t="shared" si="0"/>
        <v>0</v>
      </c>
      <c r="X8" s="204">
        <f t="shared" ref="X8:Y8" si="1">X28+X29-X9-X11-X12</f>
        <v>0</v>
      </c>
      <c r="Y8" s="204">
        <f t="shared" si="1"/>
        <v>0</v>
      </c>
      <c r="Z8" s="204">
        <v>0</v>
      </c>
      <c r="AA8" s="204">
        <v>0</v>
      </c>
      <c r="AB8" s="204">
        <v>0</v>
      </c>
      <c r="AD8" s="8" t="str">
        <f t="shared" ref="AD8:AD18" si="2">IFERROR(AVERAGE((M8-L8)/L8,(N8-M8)/M8,(O8-N8)/N8,(P8-O8)/O8,(Q8-P8)/P8),"")</f>
        <v/>
      </c>
      <c r="AE8" s="895"/>
      <c r="AG8" s="221" t="s">
        <v>576</v>
      </c>
    </row>
    <row r="9" spans="1:33" ht="12" customHeight="1">
      <c r="B9" s="149" t="s">
        <v>577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D9" s="150" t="str">
        <f t="shared" si="2"/>
        <v/>
      </c>
      <c r="AE9" s="895"/>
      <c r="AG9" s="221" t="s">
        <v>578</v>
      </c>
    </row>
    <row r="10" spans="1:33" ht="12" customHeight="1">
      <c r="B10" s="219" t="s">
        <v>579</v>
      </c>
      <c r="C10" s="485">
        <f t="shared" ref="C10:K10" si="3">SUM(C8:C9)</f>
        <v>0</v>
      </c>
      <c r="D10" s="485">
        <f t="shared" si="3"/>
        <v>0</v>
      </c>
      <c r="E10" s="485">
        <f t="shared" si="3"/>
        <v>0</v>
      </c>
      <c r="F10" s="485">
        <f t="shared" si="3"/>
        <v>0</v>
      </c>
      <c r="G10" s="485">
        <f t="shared" si="3"/>
        <v>0</v>
      </c>
      <c r="H10" s="485">
        <f t="shared" si="3"/>
        <v>0</v>
      </c>
      <c r="I10" s="485">
        <f t="shared" si="3"/>
        <v>0</v>
      </c>
      <c r="J10" s="485">
        <f t="shared" si="3"/>
        <v>0</v>
      </c>
      <c r="K10" s="485">
        <f t="shared" si="3"/>
        <v>0</v>
      </c>
      <c r="L10" s="485">
        <f t="shared" ref="L10:U10" si="4">SUM(L8:L9)</f>
        <v>0</v>
      </c>
      <c r="M10" s="485">
        <f t="shared" ref="M10:P10" si="5">SUM(M8:M9)</f>
        <v>0</v>
      </c>
      <c r="N10" s="485">
        <f t="shared" si="5"/>
        <v>0</v>
      </c>
      <c r="O10" s="485">
        <f t="shared" si="5"/>
        <v>0</v>
      </c>
      <c r="P10" s="485">
        <f t="shared" si="5"/>
        <v>0</v>
      </c>
      <c r="Q10" s="485">
        <f t="shared" si="4"/>
        <v>0</v>
      </c>
      <c r="R10" s="485">
        <f t="shared" si="4"/>
        <v>0</v>
      </c>
      <c r="S10" s="485">
        <f t="shared" si="4"/>
        <v>0</v>
      </c>
      <c r="T10" s="485">
        <f t="shared" ref="T10" si="6">SUM(T8:T9)</f>
        <v>0</v>
      </c>
      <c r="U10" s="485">
        <f t="shared" si="4"/>
        <v>0</v>
      </c>
      <c r="V10" s="485">
        <f t="shared" ref="V10:W10" si="7">SUM(V8:V9)</f>
        <v>0</v>
      </c>
      <c r="W10" s="485">
        <f t="shared" si="7"/>
        <v>0</v>
      </c>
      <c r="X10" s="485">
        <f t="shared" ref="X10:Y10" si="8">SUM(X8:X9)</f>
        <v>0</v>
      </c>
      <c r="Y10" s="485">
        <f t="shared" si="8"/>
        <v>0</v>
      </c>
      <c r="Z10" s="485">
        <f t="shared" ref="Z10" si="9">SUM(Z8:Z9)</f>
        <v>0</v>
      </c>
      <c r="AA10" s="204">
        <v>0</v>
      </c>
      <c r="AB10" s="204">
        <v>0</v>
      </c>
      <c r="AD10" s="8" t="str">
        <f t="shared" si="2"/>
        <v/>
      </c>
      <c r="AE10" s="895"/>
    </row>
    <row r="11" spans="1:33" ht="12" customHeight="1">
      <c r="B11" s="149" t="s">
        <v>580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D11" s="150" t="str">
        <f t="shared" si="2"/>
        <v/>
      </c>
      <c r="AE11" s="895"/>
    </row>
    <row r="12" spans="1:33" ht="12" customHeight="1">
      <c r="B12" s="149" t="s">
        <v>581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>
        <v>0</v>
      </c>
      <c r="Y12" s="204">
        <v>0</v>
      </c>
      <c r="Z12" s="204">
        <v>0</v>
      </c>
      <c r="AA12" s="204">
        <v>0</v>
      </c>
      <c r="AB12" s="204">
        <v>0</v>
      </c>
      <c r="AD12" s="150" t="str">
        <f t="shared" si="2"/>
        <v/>
      </c>
      <c r="AE12" s="895"/>
    </row>
    <row r="13" spans="1:33" ht="12" customHeight="1">
      <c r="B13" s="149" t="s">
        <v>582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D13" s="143" t="str">
        <f t="shared" si="2"/>
        <v/>
      </c>
      <c r="AE13" s="895"/>
    </row>
    <row r="14" spans="1:33" ht="12" customHeight="1">
      <c r="B14" s="151" t="s">
        <v>583</v>
      </c>
      <c r="C14" s="486">
        <f t="shared" ref="C14:K14" si="10">SUM(C10:C13)</f>
        <v>0</v>
      </c>
      <c r="D14" s="486">
        <f t="shared" si="10"/>
        <v>0</v>
      </c>
      <c r="E14" s="486">
        <f t="shared" si="10"/>
        <v>0</v>
      </c>
      <c r="F14" s="486">
        <f t="shared" si="10"/>
        <v>0</v>
      </c>
      <c r="G14" s="486">
        <f t="shared" si="10"/>
        <v>0</v>
      </c>
      <c r="H14" s="486">
        <f t="shared" si="10"/>
        <v>0</v>
      </c>
      <c r="I14" s="486">
        <f t="shared" si="10"/>
        <v>0</v>
      </c>
      <c r="J14" s="486">
        <f t="shared" si="10"/>
        <v>0</v>
      </c>
      <c r="K14" s="486">
        <f t="shared" si="10"/>
        <v>0</v>
      </c>
      <c r="L14" s="486">
        <f t="shared" ref="L14:M14" si="11">SUM(L10:L13)</f>
        <v>0</v>
      </c>
      <c r="M14" s="486">
        <f t="shared" si="11"/>
        <v>0</v>
      </c>
      <c r="N14" s="486">
        <f>SUM(N10:N13)</f>
        <v>0</v>
      </c>
      <c r="O14" s="486">
        <f>SUM(O10:O13)</f>
        <v>0</v>
      </c>
      <c r="P14" s="486">
        <f>SUM(P10:P13)</f>
        <v>0</v>
      </c>
      <c r="Q14" s="486">
        <f t="shared" ref="Q14:U14" si="12">SUM(Q10:Q13)</f>
        <v>0</v>
      </c>
      <c r="R14" s="486">
        <f t="shared" si="12"/>
        <v>0</v>
      </c>
      <c r="S14" s="486">
        <f>SUM(S10:S13)</f>
        <v>0</v>
      </c>
      <c r="T14" s="486">
        <f t="shared" ref="T14" si="13">SUM(T10:T13)</f>
        <v>0</v>
      </c>
      <c r="U14" s="486">
        <f t="shared" si="12"/>
        <v>0</v>
      </c>
      <c r="V14" s="486">
        <f t="shared" ref="V14:W14" si="14">SUM(V10:V13)</f>
        <v>0</v>
      </c>
      <c r="W14" s="486">
        <f t="shared" si="14"/>
        <v>0</v>
      </c>
      <c r="X14" s="486">
        <f t="shared" ref="X14:Y14" si="15">SUM(X10:X13)</f>
        <v>0</v>
      </c>
      <c r="Y14" s="486">
        <f t="shared" si="15"/>
        <v>0</v>
      </c>
      <c r="Z14" s="486">
        <f t="shared" ref="Z14:AB14" si="16">SUM(Z10:Z13)</f>
        <v>0</v>
      </c>
      <c r="AA14" s="486">
        <f t="shared" si="16"/>
        <v>0</v>
      </c>
      <c r="AB14" s="486">
        <f t="shared" si="16"/>
        <v>0</v>
      </c>
      <c r="AD14" s="8" t="str">
        <f t="shared" si="2"/>
        <v/>
      </c>
      <c r="AE14" s="895"/>
    </row>
    <row r="15" spans="1:33" ht="12" customHeight="1">
      <c r="K15" s="4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D15" s="142" t="str">
        <f t="shared" si="2"/>
        <v/>
      </c>
      <c r="AE15" s="895"/>
    </row>
    <row r="16" spans="1:33" s="153" customFormat="1" ht="12" customHeight="1">
      <c r="A16" s="223" t="s">
        <v>142</v>
      </c>
      <c r="B16" s="205" t="s">
        <v>584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O16" s="155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156"/>
      <c r="AD16" s="157" t="str">
        <f t="shared" si="2"/>
        <v/>
      </c>
      <c r="AE16" s="896"/>
      <c r="AF16" s="881"/>
      <c r="AG16" s="881"/>
    </row>
    <row r="17" spans="1:33" ht="12" customHeight="1">
      <c r="B17" s="149" t="s">
        <v>585</v>
      </c>
      <c r="C17" s="204">
        <v>0</v>
      </c>
      <c r="D17" s="204">
        <v>0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0</v>
      </c>
      <c r="K17" s="204">
        <v>0</v>
      </c>
      <c r="L17" s="204">
        <v>0</v>
      </c>
      <c r="M17" s="204">
        <v>0</v>
      </c>
      <c r="N17" s="204">
        <v>0</v>
      </c>
      <c r="O17" s="204">
        <v>0</v>
      </c>
      <c r="P17" s="204">
        <v>0</v>
      </c>
      <c r="Q17" s="204">
        <v>0</v>
      </c>
      <c r="R17" s="204">
        <v>0</v>
      </c>
      <c r="S17" s="204">
        <v>0</v>
      </c>
      <c r="T17" s="204">
        <v>0</v>
      </c>
      <c r="U17" s="204">
        <v>0</v>
      </c>
      <c r="V17" s="204">
        <v>0</v>
      </c>
      <c r="W17" s="204">
        <v>0</v>
      </c>
      <c r="X17" s="204">
        <v>0</v>
      </c>
      <c r="Y17" s="204">
        <v>0</v>
      </c>
      <c r="Z17" s="204">
        <v>0</v>
      </c>
      <c r="AA17" s="204">
        <v>1</v>
      </c>
      <c r="AB17" s="204">
        <v>2</v>
      </c>
      <c r="AD17" s="8" t="str">
        <f t="shared" si="2"/>
        <v/>
      </c>
      <c r="AE17" s="895"/>
    </row>
    <row r="18" spans="1:33" ht="12" customHeight="1" thickBot="1">
      <c r="B18" s="837" t="s">
        <v>586</v>
      </c>
      <c r="C18" s="838">
        <f t="shared" ref="C18:W18" si="17">IF(C17&gt;0,C17-C10,0)</f>
        <v>0</v>
      </c>
      <c r="D18" s="838">
        <f t="shared" si="17"/>
        <v>0</v>
      </c>
      <c r="E18" s="838">
        <f t="shared" si="17"/>
        <v>0</v>
      </c>
      <c r="F18" s="838">
        <f t="shared" si="17"/>
        <v>0</v>
      </c>
      <c r="G18" s="838">
        <f t="shared" si="17"/>
        <v>0</v>
      </c>
      <c r="H18" s="838">
        <f t="shared" si="17"/>
        <v>0</v>
      </c>
      <c r="I18" s="838">
        <f t="shared" si="17"/>
        <v>0</v>
      </c>
      <c r="J18" s="838">
        <f t="shared" si="17"/>
        <v>0</v>
      </c>
      <c r="K18" s="838">
        <f t="shared" si="17"/>
        <v>0</v>
      </c>
      <c r="L18" s="838">
        <f t="shared" si="17"/>
        <v>0</v>
      </c>
      <c r="M18" s="838">
        <f t="shared" si="17"/>
        <v>0</v>
      </c>
      <c r="N18" s="838">
        <f t="shared" si="17"/>
        <v>0</v>
      </c>
      <c r="O18" s="838">
        <f t="shared" si="17"/>
        <v>0</v>
      </c>
      <c r="P18" s="838">
        <f t="shared" si="17"/>
        <v>0</v>
      </c>
      <c r="Q18" s="838">
        <f t="shared" si="17"/>
        <v>0</v>
      </c>
      <c r="R18" s="838">
        <f t="shared" si="17"/>
        <v>0</v>
      </c>
      <c r="S18" s="838">
        <f t="shared" si="17"/>
        <v>0</v>
      </c>
      <c r="T18" s="838">
        <f t="shared" si="17"/>
        <v>0</v>
      </c>
      <c r="U18" s="838">
        <f t="shared" si="17"/>
        <v>0</v>
      </c>
      <c r="V18" s="838">
        <f t="shared" si="17"/>
        <v>0</v>
      </c>
      <c r="W18" s="838">
        <f t="shared" si="17"/>
        <v>0</v>
      </c>
      <c r="X18" s="838">
        <f t="shared" ref="X18:Y18" si="18">IF(X17&gt;0,X17-X10,0)</f>
        <v>0</v>
      </c>
      <c r="Y18" s="838">
        <f t="shared" si="18"/>
        <v>0</v>
      </c>
      <c r="Z18" s="838">
        <f t="shared" ref="Z18:AB18" si="19">IF(Z17&gt;0,Z17-Z10,0)</f>
        <v>0</v>
      </c>
      <c r="AA18" s="838">
        <f t="shared" si="19"/>
        <v>1</v>
      </c>
      <c r="AB18" s="838">
        <f t="shared" si="19"/>
        <v>2</v>
      </c>
      <c r="AD18" s="8" t="str">
        <f t="shared" si="2"/>
        <v/>
      </c>
      <c r="AE18" s="895"/>
    </row>
    <row r="19" spans="1:33" s="49" customFormat="1" ht="12" customHeight="1" thickTop="1">
      <c r="A19" s="206"/>
      <c r="B19" s="831" t="s">
        <v>390</v>
      </c>
      <c r="C19" s="832" t="str">
        <f t="shared" ref="C19" si="20">IFERROR(C18/C10,"")</f>
        <v/>
      </c>
      <c r="D19" s="832" t="str">
        <f t="shared" ref="D19" si="21">IFERROR(D18/D10,"")</f>
        <v/>
      </c>
      <c r="E19" s="832" t="str">
        <f t="shared" ref="E19" si="22">IFERROR(E18/E10,"")</f>
        <v/>
      </c>
      <c r="F19" s="832" t="str">
        <f t="shared" ref="F19" si="23">IFERROR(F18/F10,"")</f>
        <v/>
      </c>
      <c r="G19" s="832" t="str">
        <f t="shared" ref="G19" si="24">IFERROR(G18/G10,"")</f>
        <v/>
      </c>
      <c r="H19" s="832" t="str">
        <f t="shared" ref="H19" si="25">IFERROR(H18/H10,"")</f>
        <v/>
      </c>
      <c r="I19" s="832" t="str">
        <f t="shared" ref="I19" si="26">IFERROR(I18/I10,"")</f>
        <v/>
      </c>
      <c r="J19" s="832" t="str">
        <f t="shared" ref="J19" si="27">IFERROR(J18/J10,"")</f>
        <v/>
      </c>
      <c r="K19" s="832" t="str">
        <f t="shared" ref="K19" si="28">IFERROR(K18/K10,"")</f>
        <v/>
      </c>
      <c r="L19" s="832" t="str">
        <f t="shared" ref="L19:V19" si="29">IFERROR(L18/L10,"")</f>
        <v/>
      </c>
      <c r="M19" s="832" t="str">
        <f t="shared" si="29"/>
        <v/>
      </c>
      <c r="N19" s="832" t="str">
        <f t="shared" si="29"/>
        <v/>
      </c>
      <c r="O19" s="832" t="str">
        <f t="shared" si="29"/>
        <v/>
      </c>
      <c r="P19" s="832" t="str">
        <f t="shared" si="29"/>
        <v/>
      </c>
      <c r="Q19" s="832" t="str">
        <f t="shared" si="29"/>
        <v/>
      </c>
      <c r="R19" s="832" t="str">
        <f t="shared" si="29"/>
        <v/>
      </c>
      <c r="S19" s="832" t="str">
        <f t="shared" si="29"/>
        <v/>
      </c>
      <c r="T19" s="832" t="str">
        <f t="shared" si="29"/>
        <v/>
      </c>
      <c r="U19" s="832" t="str">
        <f t="shared" si="29"/>
        <v/>
      </c>
      <c r="V19" s="832" t="str">
        <f t="shared" si="29"/>
        <v/>
      </c>
      <c r="W19" s="832" t="str">
        <f t="shared" ref="W19:X19" si="30">IFERROR(W18/W10,"")</f>
        <v/>
      </c>
      <c r="X19" s="832" t="str">
        <f t="shared" si="30"/>
        <v/>
      </c>
      <c r="Y19" s="832" t="str">
        <f t="shared" ref="Y19:Z19" si="31">IFERROR(Y18/Y10,"")</f>
        <v/>
      </c>
      <c r="Z19" s="832" t="str">
        <f t="shared" si="31"/>
        <v/>
      </c>
      <c r="AA19" s="832" t="str">
        <f t="shared" ref="AA19:AB19" si="32">IFERROR(AA18/AA10,"")</f>
        <v/>
      </c>
      <c r="AB19" s="832" t="str">
        <f t="shared" si="32"/>
        <v/>
      </c>
      <c r="AC19" s="76"/>
      <c r="AE19" s="206"/>
      <c r="AF19" s="206"/>
      <c r="AG19" s="206"/>
    </row>
    <row r="20" spans="1:33" s="160" customFormat="1" ht="12" customHeight="1">
      <c r="A20" s="225"/>
      <c r="B20" s="16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13"/>
      <c r="AD20" s="143" t="str">
        <f t="shared" ref="AD20:AD29" si="33">IFERROR(AVERAGE((M20-L20)/L20,(N20-M20)/M20,(O20-N20)/N20,(P20-O20)/O20,(Q20-P20)/P20),"")</f>
        <v/>
      </c>
      <c r="AE20" s="895"/>
      <c r="AF20" s="884"/>
      <c r="AG20" s="225"/>
    </row>
    <row r="21" spans="1:33" s="11" customFormat="1" ht="12" customHeight="1">
      <c r="A21" s="230" t="s">
        <v>217</v>
      </c>
      <c r="B21" s="145" t="s">
        <v>587</v>
      </c>
      <c r="C21" s="13"/>
      <c r="D21" s="13"/>
      <c r="E21" s="13"/>
      <c r="F21" s="13"/>
      <c r="G21" s="13"/>
      <c r="H21" s="13"/>
      <c r="I21" s="13"/>
      <c r="J21" s="13"/>
      <c r="K21" s="154"/>
      <c r="L21" s="154"/>
      <c r="M21" s="154"/>
      <c r="N21" s="144"/>
      <c r="O21" s="144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13"/>
      <c r="AD21" s="142" t="str">
        <f t="shared" si="33"/>
        <v/>
      </c>
      <c r="AE21" s="894"/>
      <c r="AF21" s="900"/>
      <c r="AG21" s="900"/>
    </row>
    <row r="22" spans="1:33" ht="12" customHeight="1">
      <c r="B22" s="37" t="s">
        <v>27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169">
        <f>+P22</f>
        <v>0</v>
      </c>
      <c r="R22" s="169">
        <v>0</v>
      </c>
      <c r="S22" s="169">
        <f t="shared" ref="S22:Z22" si="34">+R22</f>
        <v>0</v>
      </c>
      <c r="T22" s="169">
        <f t="shared" si="34"/>
        <v>0</v>
      </c>
      <c r="U22" s="169">
        <f t="shared" si="34"/>
        <v>0</v>
      </c>
      <c r="V22" s="169">
        <f t="shared" si="34"/>
        <v>0</v>
      </c>
      <c r="W22" s="169">
        <f t="shared" si="34"/>
        <v>0</v>
      </c>
      <c r="X22" s="169">
        <f t="shared" si="34"/>
        <v>0</v>
      </c>
      <c r="Y22" s="169">
        <f t="shared" si="34"/>
        <v>0</v>
      </c>
      <c r="Z22" s="169">
        <f t="shared" si="34"/>
        <v>0</v>
      </c>
      <c r="AA22" s="169">
        <f t="shared" ref="AA22" si="35">+Z22</f>
        <v>0</v>
      </c>
      <c r="AB22" s="169">
        <f t="shared" ref="AB22" si="36">+AA22</f>
        <v>0</v>
      </c>
      <c r="AD22" s="8" t="str">
        <f t="shared" si="33"/>
        <v/>
      </c>
      <c r="AE22" s="779" t="s">
        <v>474</v>
      </c>
      <c r="AF22" s="778" t="s">
        <v>475</v>
      </c>
      <c r="AG22" s="383"/>
    </row>
    <row r="23" spans="1:33" ht="12" customHeight="1">
      <c r="B23" s="37" t="s">
        <v>32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f>P23*(1+$AE$23)</f>
        <v>0</v>
      </c>
      <c r="R23" s="169">
        <v>0</v>
      </c>
      <c r="S23" s="169">
        <f t="shared" ref="S23:Z23" si="37">ROUND(R23*(1+$AE23),0)</f>
        <v>0</v>
      </c>
      <c r="T23" s="169">
        <f t="shared" si="37"/>
        <v>0</v>
      </c>
      <c r="U23" s="169">
        <f t="shared" si="37"/>
        <v>0</v>
      </c>
      <c r="V23" s="169">
        <f t="shared" si="37"/>
        <v>0</v>
      </c>
      <c r="W23" s="169">
        <f t="shared" si="37"/>
        <v>0</v>
      </c>
      <c r="X23" s="169">
        <f t="shared" si="37"/>
        <v>0</v>
      </c>
      <c r="Y23" s="169">
        <f t="shared" si="37"/>
        <v>0</v>
      </c>
      <c r="Z23" s="169">
        <f t="shared" si="37"/>
        <v>0</v>
      </c>
      <c r="AA23" s="169">
        <f t="shared" ref="AA23:AB23" si="38">ROUND(Z23*(1+$AE23),0)</f>
        <v>0</v>
      </c>
      <c r="AB23" s="169">
        <f t="shared" si="38"/>
        <v>0</v>
      </c>
      <c r="AD23" s="8" t="str">
        <f t="shared" si="33"/>
        <v/>
      </c>
      <c r="AE23" s="897">
        <v>0</v>
      </c>
    </row>
    <row r="24" spans="1:33" ht="12" customHeight="1">
      <c r="B24" s="37" t="s">
        <v>588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f>+Debt!N71+Debt!N78</f>
        <v>0</v>
      </c>
      <c r="O24" s="204">
        <f>+Debt!O71+Debt!O78</f>
        <v>0</v>
      </c>
      <c r="P24" s="204">
        <f>+Debt!P71+Debt!P78</f>
        <v>0</v>
      </c>
      <c r="Q24" s="204">
        <f>+Debt!Q71+Debt!Q78</f>
        <v>0</v>
      </c>
      <c r="R24" s="204">
        <f>+Debt!R71+Debt!R78</f>
        <v>0</v>
      </c>
      <c r="S24" s="204">
        <f>+Debt!S71+Debt!S78</f>
        <v>0</v>
      </c>
      <c r="T24" s="204">
        <f>+Debt!T71+Debt!T78</f>
        <v>0</v>
      </c>
      <c r="U24" s="204">
        <f>+Debt!U71+Debt!U78</f>
        <v>0</v>
      </c>
      <c r="V24" s="204">
        <f>+Debt!V71+Debt!V78</f>
        <v>0</v>
      </c>
      <c r="W24" s="204">
        <f>+Debt!W71+Debt!W78</f>
        <v>0</v>
      </c>
      <c r="X24" s="204">
        <f>+Debt!X71+Debt!X78</f>
        <v>0</v>
      </c>
      <c r="Y24" s="204">
        <f>+Debt!Y71+Debt!Y78</f>
        <v>0</v>
      </c>
      <c r="Z24" s="204">
        <f>+Debt!AA71+Debt!AA78</f>
        <v>0</v>
      </c>
      <c r="AA24" s="204">
        <f>+Debt!AB71+Debt!AB78</f>
        <v>0</v>
      </c>
      <c r="AB24" s="204">
        <f>+Debt!AC71+Debt!AC78</f>
        <v>0</v>
      </c>
      <c r="AD24" s="8" t="str">
        <f t="shared" si="33"/>
        <v/>
      </c>
      <c r="AE24" s="785" t="s">
        <v>262</v>
      </c>
      <c r="AG24" s="221" t="s">
        <v>589</v>
      </c>
    </row>
    <row r="25" spans="1:33" ht="12" customHeight="1">
      <c r="B25" s="328" t="s">
        <v>590</v>
      </c>
      <c r="C25" s="368">
        <v>0</v>
      </c>
      <c r="D25" s="368">
        <f>+CIP!D68</f>
        <v>0</v>
      </c>
      <c r="E25" s="368">
        <f>+CIP!E68</f>
        <v>0</v>
      </c>
      <c r="F25" s="368">
        <f>+CIP!F68</f>
        <v>0</v>
      </c>
      <c r="G25" s="368">
        <f>+CIP!G68</f>
        <v>0</v>
      </c>
      <c r="H25" s="368">
        <f>+CIP!H68</f>
        <v>0</v>
      </c>
      <c r="I25" s="368">
        <f>+CIP!I68</f>
        <v>0</v>
      </c>
      <c r="J25" s="368">
        <f>+CIP!J68</f>
        <v>0</v>
      </c>
      <c r="K25" s="368">
        <f>+CIP!K68</f>
        <v>0</v>
      </c>
      <c r="L25" s="368">
        <f>+CIP!L68</f>
        <v>0</v>
      </c>
      <c r="M25" s="368">
        <f>+CIP!M68</f>
        <v>0</v>
      </c>
      <c r="N25" s="368">
        <f>+CIP!N68</f>
        <v>0</v>
      </c>
      <c r="O25" s="368">
        <f>+CIP!O68</f>
        <v>0</v>
      </c>
      <c r="P25" s="368">
        <f>+CIP!P68</f>
        <v>0</v>
      </c>
      <c r="Q25" s="368">
        <f>+CIP!Q68</f>
        <v>0</v>
      </c>
      <c r="R25" s="368">
        <f>+CIP!R68</f>
        <v>0</v>
      </c>
      <c r="S25" s="368">
        <f>+CIP!S68</f>
        <v>0</v>
      </c>
      <c r="T25" s="368">
        <f>+CIP!T68</f>
        <v>0</v>
      </c>
      <c r="U25" s="368">
        <f>+CIP!U68</f>
        <v>0</v>
      </c>
      <c r="V25" s="368">
        <f>+CIP!V68</f>
        <v>0</v>
      </c>
      <c r="W25" s="368">
        <f>+CIP!W68</f>
        <v>0</v>
      </c>
      <c r="X25" s="368">
        <f>+CIP!X68</f>
        <v>0</v>
      </c>
      <c r="Y25" s="368">
        <f>+CIP!Y68</f>
        <v>0</v>
      </c>
      <c r="Z25" s="368">
        <f>+CIP!AA68</f>
        <v>0</v>
      </c>
      <c r="AA25" s="368">
        <f>+CIP!AB68</f>
        <v>0</v>
      </c>
      <c r="AB25" s="368">
        <f>+CIP!AC68</f>
        <v>0</v>
      </c>
      <c r="AD25" s="143" t="str">
        <f t="shared" si="33"/>
        <v/>
      </c>
      <c r="AE25" s="783" t="s">
        <v>555</v>
      </c>
      <c r="AG25" s="221" t="s">
        <v>591</v>
      </c>
    </row>
    <row r="26" spans="1:33" ht="12" customHeight="1">
      <c r="B26" s="35" t="s">
        <v>153</v>
      </c>
      <c r="C26" s="368">
        <v>0</v>
      </c>
      <c r="D26" s="368">
        <v>0</v>
      </c>
      <c r="E26" s="368">
        <v>0</v>
      </c>
      <c r="F26" s="368">
        <v>0</v>
      </c>
      <c r="G26" s="368">
        <v>0</v>
      </c>
      <c r="H26" s="368">
        <v>0</v>
      </c>
      <c r="I26" s="368">
        <v>0</v>
      </c>
      <c r="J26" s="368">
        <v>0</v>
      </c>
      <c r="K26" s="368">
        <v>0</v>
      </c>
      <c r="L26" s="368">
        <v>0</v>
      </c>
      <c r="M26" s="368">
        <v>0</v>
      </c>
      <c r="N26" s="368">
        <v>0</v>
      </c>
      <c r="O26" s="368">
        <v>0</v>
      </c>
      <c r="P26" s="368">
        <v>0</v>
      </c>
      <c r="Q26" s="368">
        <v>0</v>
      </c>
      <c r="R26" s="368">
        <v>0</v>
      </c>
      <c r="S26" s="368">
        <v>0</v>
      </c>
      <c r="T26" s="368">
        <v>0</v>
      </c>
      <c r="U26" s="368">
        <v>0</v>
      </c>
      <c r="V26" s="368">
        <v>0</v>
      </c>
      <c r="W26" s="368">
        <v>0</v>
      </c>
      <c r="X26" s="368">
        <v>0</v>
      </c>
      <c r="Y26" s="368">
        <v>0</v>
      </c>
      <c r="Z26" s="368">
        <v>0</v>
      </c>
      <c r="AA26" s="368">
        <v>0</v>
      </c>
      <c r="AB26" s="368">
        <v>0</v>
      </c>
      <c r="AD26" s="143" t="str">
        <f t="shared" si="33"/>
        <v/>
      </c>
      <c r="AE26" s="221"/>
    </row>
    <row r="27" spans="1:33" ht="12" customHeight="1">
      <c r="B27" s="35" t="s">
        <v>592</v>
      </c>
      <c r="C27" s="368">
        <v>0</v>
      </c>
      <c r="D27" s="368">
        <v>0</v>
      </c>
      <c r="E27" s="368">
        <v>0</v>
      </c>
      <c r="F27" s="368">
        <v>0</v>
      </c>
      <c r="G27" s="368">
        <v>0</v>
      </c>
      <c r="H27" s="368">
        <v>0</v>
      </c>
      <c r="I27" s="368">
        <v>0</v>
      </c>
      <c r="J27" s="368">
        <v>0</v>
      </c>
      <c r="K27" s="368">
        <v>0</v>
      </c>
      <c r="L27" s="368">
        <v>0</v>
      </c>
      <c r="M27" s="368">
        <v>0</v>
      </c>
      <c r="N27" s="368">
        <v>0</v>
      </c>
      <c r="O27" s="368">
        <v>0</v>
      </c>
      <c r="P27" s="368">
        <v>0</v>
      </c>
      <c r="Q27" s="368">
        <v>0</v>
      </c>
      <c r="R27" s="368">
        <v>0</v>
      </c>
      <c r="S27" s="368">
        <v>0</v>
      </c>
      <c r="T27" s="368">
        <v>0</v>
      </c>
      <c r="U27" s="368">
        <v>0</v>
      </c>
      <c r="V27" s="368">
        <v>0</v>
      </c>
      <c r="W27" s="368">
        <v>0</v>
      </c>
      <c r="X27" s="368">
        <v>0</v>
      </c>
      <c r="Y27" s="368">
        <v>0</v>
      </c>
      <c r="Z27" s="368">
        <v>0</v>
      </c>
      <c r="AA27" s="368">
        <v>0</v>
      </c>
      <c r="AB27" s="368">
        <v>0</v>
      </c>
      <c r="AD27" s="143" t="str">
        <f t="shared" si="33"/>
        <v/>
      </c>
      <c r="AE27" s="221"/>
    </row>
    <row r="28" spans="1:33" ht="12" customHeight="1" thickBot="1">
      <c r="B28" s="857" t="s">
        <v>593</v>
      </c>
      <c r="C28" s="858">
        <f t="shared" ref="C28:K28" si="39">SUM(C22:C27)</f>
        <v>0</v>
      </c>
      <c r="D28" s="858">
        <f t="shared" si="39"/>
        <v>0</v>
      </c>
      <c r="E28" s="858">
        <f t="shared" si="39"/>
        <v>0</v>
      </c>
      <c r="F28" s="858">
        <f t="shared" si="39"/>
        <v>0</v>
      </c>
      <c r="G28" s="858">
        <f t="shared" si="39"/>
        <v>0</v>
      </c>
      <c r="H28" s="858">
        <f t="shared" si="39"/>
        <v>0</v>
      </c>
      <c r="I28" s="858">
        <f t="shared" si="39"/>
        <v>0</v>
      </c>
      <c r="J28" s="858">
        <f t="shared" si="39"/>
        <v>0</v>
      </c>
      <c r="K28" s="858">
        <f t="shared" si="39"/>
        <v>0</v>
      </c>
      <c r="L28" s="858">
        <f t="shared" ref="L28:V28" si="40">SUM(L22:L27)</f>
        <v>0</v>
      </c>
      <c r="M28" s="858">
        <f t="shared" si="40"/>
        <v>0</v>
      </c>
      <c r="N28" s="858">
        <f t="shared" si="40"/>
        <v>0</v>
      </c>
      <c r="O28" s="858">
        <f t="shared" si="40"/>
        <v>0</v>
      </c>
      <c r="P28" s="858">
        <f t="shared" si="40"/>
        <v>0</v>
      </c>
      <c r="Q28" s="858">
        <f t="shared" si="40"/>
        <v>0</v>
      </c>
      <c r="R28" s="858">
        <f t="shared" si="40"/>
        <v>0</v>
      </c>
      <c r="S28" s="858">
        <f t="shared" si="40"/>
        <v>0</v>
      </c>
      <c r="T28" s="858">
        <f t="shared" si="40"/>
        <v>0</v>
      </c>
      <c r="U28" s="858">
        <f t="shared" si="40"/>
        <v>0</v>
      </c>
      <c r="V28" s="858">
        <f t="shared" si="40"/>
        <v>0</v>
      </c>
      <c r="W28" s="858">
        <f t="shared" ref="W28:X28" si="41">SUM(W22:W27)</f>
        <v>0</v>
      </c>
      <c r="X28" s="858">
        <f t="shared" si="41"/>
        <v>0</v>
      </c>
      <c r="Y28" s="858">
        <f t="shared" ref="Y28:Z28" si="42">SUM(Y22:Y27)</f>
        <v>0</v>
      </c>
      <c r="Z28" s="858">
        <f t="shared" si="42"/>
        <v>0</v>
      </c>
      <c r="AA28" s="858">
        <f t="shared" ref="AA28:AB28" si="43">SUM(AA22:AA27)</f>
        <v>0</v>
      </c>
      <c r="AB28" s="858">
        <f t="shared" si="43"/>
        <v>0</v>
      </c>
      <c r="AD28" s="143" t="str">
        <f t="shared" si="33"/>
        <v/>
      </c>
      <c r="AE28" s="895"/>
    </row>
    <row r="29" spans="1:33" ht="12" customHeight="1" thickTop="1">
      <c r="B29" s="859" t="s">
        <v>594</v>
      </c>
      <c r="C29" s="860">
        <v>0</v>
      </c>
      <c r="D29" s="860">
        <v>0</v>
      </c>
      <c r="E29" s="860">
        <v>0</v>
      </c>
      <c r="F29" s="860">
        <v>0</v>
      </c>
      <c r="G29" s="860">
        <v>0</v>
      </c>
      <c r="H29" s="860">
        <v>0</v>
      </c>
      <c r="I29" s="860">
        <v>0</v>
      </c>
      <c r="J29" s="860">
        <v>0</v>
      </c>
      <c r="K29" s="860">
        <v>0</v>
      </c>
      <c r="L29" s="860">
        <v>0</v>
      </c>
      <c r="M29" s="860">
        <v>0</v>
      </c>
      <c r="N29" s="860">
        <v>0</v>
      </c>
      <c r="O29" s="860">
        <v>0</v>
      </c>
      <c r="P29" s="860">
        <v>0</v>
      </c>
      <c r="Q29" s="861">
        <v>0</v>
      </c>
      <c r="R29" s="861">
        <v>0</v>
      </c>
      <c r="S29" s="861">
        <f t="shared" ref="S29:Z29" si="44">ROUND(R29*(1+$AE29),0)</f>
        <v>0</v>
      </c>
      <c r="T29" s="861">
        <f t="shared" si="44"/>
        <v>0</v>
      </c>
      <c r="U29" s="861">
        <f t="shared" si="44"/>
        <v>0</v>
      </c>
      <c r="V29" s="861">
        <f t="shared" si="44"/>
        <v>0</v>
      </c>
      <c r="W29" s="861">
        <f t="shared" si="44"/>
        <v>0</v>
      </c>
      <c r="X29" s="861">
        <f t="shared" si="44"/>
        <v>0</v>
      </c>
      <c r="Y29" s="861">
        <f t="shared" si="44"/>
        <v>0</v>
      </c>
      <c r="Z29" s="861">
        <f t="shared" si="44"/>
        <v>0</v>
      </c>
      <c r="AA29" s="861">
        <f t="shared" ref="AA29:AB29" si="45">ROUND(Z29*(1+$AE29),0)</f>
        <v>0</v>
      </c>
      <c r="AB29" s="861">
        <f t="shared" si="45"/>
        <v>0</v>
      </c>
      <c r="AD29" s="8" t="str">
        <f t="shared" si="33"/>
        <v/>
      </c>
      <c r="AE29" s="897">
        <v>0</v>
      </c>
    </row>
    <row r="30" spans="1:33" ht="12" customHeight="1">
      <c r="C30" s="864"/>
      <c r="D30" s="864"/>
      <c r="E30" s="864"/>
      <c r="F30" s="864"/>
      <c r="G30" s="864"/>
      <c r="H30" s="864"/>
      <c r="I30" s="864"/>
      <c r="J30" s="864"/>
      <c r="K30" s="864"/>
      <c r="L30" s="864"/>
      <c r="M30" s="864"/>
      <c r="N30" s="864"/>
      <c r="O30" s="864"/>
      <c r="P30" s="864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549"/>
      <c r="AD30" s="8"/>
      <c r="AE30" s="898"/>
    </row>
    <row r="31" spans="1:33" ht="12" customHeight="1" thickBot="1">
      <c r="B31" s="833" t="s">
        <v>133</v>
      </c>
      <c r="C31" s="834">
        <f t="shared" ref="C31:O31" si="46">C14-C28-C29</f>
        <v>0</v>
      </c>
      <c r="D31" s="834">
        <f t="shared" si="46"/>
        <v>0</v>
      </c>
      <c r="E31" s="834">
        <f t="shared" si="46"/>
        <v>0</v>
      </c>
      <c r="F31" s="834">
        <f t="shared" si="46"/>
        <v>0</v>
      </c>
      <c r="G31" s="834">
        <f t="shared" si="46"/>
        <v>0</v>
      </c>
      <c r="H31" s="834">
        <f t="shared" si="46"/>
        <v>0</v>
      </c>
      <c r="I31" s="834">
        <f t="shared" si="46"/>
        <v>0</v>
      </c>
      <c r="J31" s="834">
        <f t="shared" si="46"/>
        <v>0</v>
      </c>
      <c r="K31" s="834">
        <f t="shared" si="46"/>
        <v>0</v>
      </c>
      <c r="L31" s="834">
        <f t="shared" si="46"/>
        <v>0</v>
      </c>
      <c r="M31" s="834">
        <f t="shared" si="46"/>
        <v>0</v>
      </c>
      <c r="N31" s="834">
        <f t="shared" si="46"/>
        <v>0</v>
      </c>
      <c r="O31" s="834">
        <f t="shared" si="46"/>
        <v>0</v>
      </c>
      <c r="P31" s="834">
        <f t="shared" ref="P31:V31" si="47">P14-P28-P29</f>
        <v>0</v>
      </c>
      <c r="Q31" s="834">
        <f>Q14-Q28-Q29</f>
        <v>0</v>
      </c>
      <c r="R31" s="834">
        <f t="shared" si="47"/>
        <v>0</v>
      </c>
      <c r="S31" s="834">
        <f t="shared" si="47"/>
        <v>0</v>
      </c>
      <c r="T31" s="834">
        <f t="shared" si="47"/>
        <v>0</v>
      </c>
      <c r="U31" s="834">
        <f t="shared" si="47"/>
        <v>0</v>
      </c>
      <c r="V31" s="834">
        <f t="shared" si="47"/>
        <v>0</v>
      </c>
      <c r="W31" s="834">
        <f t="shared" ref="W31:X31" si="48">W14-W28-W29</f>
        <v>0</v>
      </c>
      <c r="X31" s="834">
        <f t="shared" si="48"/>
        <v>0</v>
      </c>
      <c r="Y31" s="834">
        <f t="shared" ref="Y31:Z31" si="49">Y14-Y28-Y29</f>
        <v>0</v>
      </c>
      <c r="Z31" s="834">
        <f t="shared" si="49"/>
        <v>0</v>
      </c>
      <c r="AA31" s="834">
        <f t="shared" ref="AA31:AB31" si="50">AA14-AA28-AA29</f>
        <v>0</v>
      </c>
      <c r="AB31" s="834">
        <f t="shared" si="50"/>
        <v>0</v>
      </c>
      <c r="AE31" s="895"/>
    </row>
    <row r="32" spans="1:33" ht="12" customHeight="1" thickTop="1"/>
    <row r="33" spans="1:33" ht="12" customHeight="1">
      <c r="B33" s="108" t="s">
        <v>437</v>
      </c>
      <c r="C33" s="106">
        <v>2006</v>
      </c>
      <c r="D33" s="106">
        <v>2007</v>
      </c>
      <c r="E33" s="106">
        <v>2008</v>
      </c>
      <c r="F33" s="106">
        <v>2009</v>
      </c>
      <c r="G33" s="106">
        <v>2010</v>
      </c>
      <c r="H33" s="106">
        <v>2011</v>
      </c>
      <c r="I33" s="106">
        <v>2012</v>
      </c>
      <c r="J33" s="106">
        <v>2013</v>
      </c>
      <c r="K33" s="106">
        <v>2014</v>
      </c>
      <c r="L33" s="106">
        <v>2015</v>
      </c>
      <c r="M33" s="106">
        <v>2016</v>
      </c>
      <c r="N33" s="106">
        <v>2017</v>
      </c>
      <c r="O33" s="106">
        <v>2018</v>
      </c>
      <c r="P33" s="106">
        <v>2019</v>
      </c>
      <c r="Q33" s="106">
        <v>2020</v>
      </c>
      <c r="R33" s="106">
        <v>2021</v>
      </c>
      <c r="S33" s="106">
        <v>2022</v>
      </c>
      <c r="T33" s="106">
        <v>2023</v>
      </c>
      <c r="U33" s="106">
        <v>2024</v>
      </c>
      <c r="V33" s="106">
        <v>2025</v>
      </c>
      <c r="W33" s="106">
        <v>2026</v>
      </c>
      <c r="X33" s="106">
        <v>2027</v>
      </c>
      <c r="Y33" s="106">
        <v>2028</v>
      </c>
      <c r="Z33" s="106">
        <v>2029</v>
      </c>
      <c r="AA33" s="106">
        <v>2030</v>
      </c>
      <c r="AB33" s="106">
        <v>2031</v>
      </c>
    </row>
    <row r="34" spans="1:33" s="159" customFormat="1" ht="12" customHeight="1">
      <c r="A34" s="224"/>
      <c r="B34" s="158" t="s">
        <v>595</v>
      </c>
      <c r="C34" s="694">
        <v>38534</v>
      </c>
      <c r="D34" s="694">
        <v>38899</v>
      </c>
      <c r="E34" s="694">
        <v>39264</v>
      </c>
      <c r="F34" s="694">
        <v>39630</v>
      </c>
      <c r="G34" s="694">
        <v>39995</v>
      </c>
      <c r="H34" s="694">
        <v>40360</v>
      </c>
      <c r="I34" s="694">
        <v>40725</v>
      </c>
      <c r="J34" s="694">
        <v>41091</v>
      </c>
      <c r="K34" s="694">
        <v>41456</v>
      </c>
      <c r="L34" s="694">
        <v>41821</v>
      </c>
      <c r="M34" s="694">
        <v>42186</v>
      </c>
      <c r="N34" s="694" t="s">
        <v>439</v>
      </c>
      <c r="O34" s="694" t="s">
        <v>440</v>
      </c>
      <c r="P34" s="694" t="s">
        <v>441</v>
      </c>
      <c r="Q34" s="694" t="s">
        <v>442</v>
      </c>
      <c r="R34" s="694" t="s">
        <v>443</v>
      </c>
      <c r="S34" s="694" t="s">
        <v>444</v>
      </c>
      <c r="T34" s="694" t="s">
        <v>445</v>
      </c>
      <c r="U34" s="694" t="s">
        <v>446</v>
      </c>
      <c r="V34" s="693" t="s">
        <v>447</v>
      </c>
      <c r="W34" s="693" t="s">
        <v>448</v>
      </c>
      <c r="X34" s="693" t="s">
        <v>449</v>
      </c>
      <c r="Y34" s="693" t="s">
        <v>450</v>
      </c>
      <c r="Z34" s="693" t="s">
        <v>451</v>
      </c>
      <c r="AA34" s="693" t="s">
        <v>452</v>
      </c>
      <c r="AB34" s="693" t="s">
        <v>453</v>
      </c>
      <c r="AC34" s="144"/>
      <c r="AD34" s="143"/>
      <c r="AE34" s="143"/>
      <c r="AF34" s="224"/>
      <c r="AG34" s="224"/>
    </row>
    <row r="35" spans="1:33" s="160" customFormat="1" ht="12" customHeight="1">
      <c r="A35" s="225"/>
      <c r="B35" s="367" t="s">
        <v>596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04">
        <v>0</v>
      </c>
      <c r="U35" s="204">
        <v>0</v>
      </c>
      <c r="V35" s="204">
        <v>0</v>
      </c>
      <c r="W35" s="204">
        <v>0</v>
      </c>
      <c r="X35" s="204">
        <v>0</v>
      </c>
      <c r="Y35" s="204">
        <v>0</v>
      </c>
      <c r="Z35" s="204">
        <v>0</v>
      </c>
      <c r="AA35" s="204">
        <v>0</v>
      </c>
      <c r="AB35" s="204">
        <v>0</v>
      </c>
      <c r="AC35" s="13"/>
      <c r="AD35" s="143"/>
      <c r="AE35" s="143"/>
      <c r="AF35" s="884"/>
      <c r="AG35" s="225"/>
    </row>
    <row r="36" spans="1:33" s="160" customFormat="1" ht="12" customHeight="1">
      <c r="A36" s="225"/>
      <c r="B36" s="804" t="s">
        <v>597</v>
      </c>
      <c r="C36" s="939" t="str">
        <f t="shared" ref="C36:M36" si="51">IFERROR(C35/C10,"")</f>
        <v/>
      </c>
      <c r="D36" s="939" t="str">
        <f t="shared" si="51"/>
        <v/>
      </c>
      <c r="E36" s="939" t="str">
        <f t="shared" si="51"/>
        <v/>
      </c>
      <c r="F36" s="939" t="str">
        <f t="shared" si="51"/>
        <v/>
      </c>
      <c r="G36" s="939" t="str">
        <f t="shared" si="51"/>
        <v/>
      </c>
      <c r="H36" s="939" t="str">
        <f t="shared" si="51"/>
        <v/>
      </c>
      <c r="I36" s="939" t="str">
        <f t="shared" si="51"/>
        <v/>
      </c>
      <c r="J36" s="939" t="str">
        <f t="shared" si="51"/>
        <v/>
      </c>
      <c r="K36" s="939" t="str">
        <f t="shared" si="51"/>
        <v/>
      </c>
      <c r="L36" s="939" t="str">
        <f t="shared" si="51"/>
        <v/>
      </c>
      <c r="M36" s="939" t="str">
        <f t="shared" si="51"/>
        <v/>
      </c>
      <c r="N36" s="939" t="str">
        <f>IFERROR(N35/N10,"")</f>
        <v/>
      </c>
      <c r="O36" s="939" t="str">
        <f t="shared" ref="O36:W36" si="52">IFERROR(O35/O10,"")</f>
        <v/>
      </c>
      <c r="P36" s="939" t="str">
        <f t="shared" si="52"/>
        <v/>
      </c>
      <c r="Q36" s="939" t="str">
        <f t="shared" si="52"/>
        <v/>
      </c>
      <c r="R36" s="939" t="str">
        <f t="shared" si="52"/>
        <v/>
      </c>
      <c r="S36" s="939" t="str">
        <f t="shared" si="52"/>
        <v/>
      </c>
      <c r="T36" s="939" t="str">
        <f t="shared" si="52"/>
        <v/>
      </c>
      <c r="U36" s="939" t="str">
        <f t="shared" si="52"/>
        <v/>
      </c>
      <c r="V36" s="939" t="str">
        <f t="shared" si="52"/>
        <v/>
      </c>
      <c r="W36" s="939" t="str">
        <f t="shared" si="52"/>
        <v/>
      </c>
      <c r="X36" s="939" t="str">
        <f t="shared" ref="X36:Y36" si="53">IFERROR(X35/X10,"")</f>
        <v/>
      </c>
      <c r="Y36" s="939" t="str">
        <f t="shared" si="53"/>
        <v/>
      </c>
      <c r="Z36" s="939" t="str">
        <f t="shared" ref="Z36:AB36" si="54">IFERROR(Z35/Z10,"")</f>
        <v/>
      </c>
      <c r="AA36" s="939" t="str">
        <f t="shared" si="54"/>
        <v/>
      </c>
      <c r="AB36" s="939" t="str">
        <f t="shared" si="54"/>
        <v/>
      </c>
      <c r="AC36" s="13"/>
      <c r="AD36" s="143"/>
      <c r="AE36" s="143"/>
      <c r="AF36" s="884"/>
      <c r="AG36" s="225"/>
    </row>
    <row r="37" spans="1:33" s="160" customFormat="1" ht="12" customHeight="1" thickBot="1">
      <c r="A37" s="702"/>
      <c r="B37" s="702"/>
      <c r="C37" s="702"/>
      <c r="D37" s="702"/>
      <c r="E37" s="702"/>
      <c r="F37" s="702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884"/>
      <c r="AG37" s="225"/>
    </row>
    <row r="38" spans="1:33" ht="12" customHeight="1"/>
    <row r="39" spans="1:33" ht="12" customHeight="1">
      <c r="C39" s="144" t="s">
        <v>82</v>
      </c>
      <c r="D39" s="144" t="s">
        <v>83</v>
      </c>
      <c r="E39" s="144" t="s">
        <v>84</v>
      </c>
      <c r="F39" s="144" t="s">
        <v>85</v>
      </c>
      <c r="G39" s="144" t="s">
        <v>86</v>
      </c>
      <c r="H39" s="144" t="s">
        <v>87</v>
      </c>
      <c r="I39" s="144" t="s">
        <v>88</v>
      </c>
      <c r="J39" s="144" t="s">
        <v>89</v>
      </c>
      <c r="K39" s="144" t="s">
        <v>90</v>
      </c>
      <c r="L39" s="144" t="s">
        <v>91</v>
      </c>
      <c r="M39" s="144" t="s">
        <v>92</v>
      </c>
      <c r="N39" s="144" t="s">
        <v>93</v>
      </c>
      <c r="O39" s="144" t="s">
        <v>94</v>
      </c>
      <c r="P39" s="144" t="s">
        <v>95</v>
      </c>
      <c r="Q39" s="144" t="s">
        <v>96</v>
      </c>
      <c r="R39" s="144" t="s">
        <v>97</v>
      </c>
      <c r="S39" s="144" t="s">
        <v>98</v>
      </c>
      <c r="T39" s="144" t="s">
        <v>99</v>
      </c>
      <c r="U39" s="144" t="s">
        <v>100</v>
      </c>
      <c r="V39" s="144" t="s">
        <v>101</v>
      </c>
      <c r="W39" s="144" t="s">
        <v>102</v>
      </c>
      <c r="X39" s="144" t="s">
        <v>103</v>
      </c>
      <c r="Y39" s="144" t="s">
        <v>104</v>
      </c>
      <c r="Z39" s="144" t="s">
        <v>105</v>
      </c>
      <c r="AA39" s="144" t="s">
        <v>106</v>
      </c>
      <c r="AB39" s="144" t="s">
        <v>107</v>
      </c>
      <c r="AD39" s="111" t="s">
        <v>212</v>
      </c>
      <c r="AE39" s="260" t="s">
        <v>157</v>
      </c>
    </row>
    <row r="40" spans="1:33" ht="12" customHeight="1">
      <c r="C40" s="144" t="s">
        <v>158</v>
      </c>
      <c r="D40" s="144" t="s">
        <v>158</v>
      </c>
      <c r="E40" s="144" t="s">
        <v>158</v>
      </c>
      <c r="F40" s="144" t="s">
        <v>158</v>
      </c>
      <c r="G40" s="144" t="s">
        <v>158</v>
      </c>
      <c r="H40" s="144" t="s">
        <v>158</v>
      </c>
      <c r="I40" s="144" t="s">
        <v>158</v>
      </c>
      <c r="J40" s="144" t="s">
        <v>158</v>
      </c>
      <c r="K40" s="144" t="s">
        <v>158</v>
      </c>
      <c r="L40" s="144" t="s">
        <v>158</v>
      </c>
      <c r="M40" s="144" t="s">
        <v>158</v>
      </c>
      <c r="N40" s="144" t="s">
        <v>158</v>
      </c>
      <c r="O40" s="144" t="s">
        <v>158</v>
      </c>
      <c r="P40" s="144" t="s">
        <v>158</v>
      </c>
      <c r="Q40" s="144" t="s">
        <v>158</v>
      </c>
      <c r="R40" s="144" t="s">
        <v>158</v>
      </c>
      <c r="S40" s="144" t="s">
        <v>159</v>
      </c>
      <c r="T40" s="144" t="s">
        <v>159</v>
      </c>
      <c r="U40" s="144" t="s">
        <v>159</v>
      </c>
      <c r="V40" s="144" t="s">
        <v>159</v>
      </c>
      <c r="W40" s="144" t="s">
        <v>159</v>
      </c>
      <c r="X40" s="144" t="s">
        <v>159</v>
      </c>
      <c r="Y40" s="144" t="s">
        <v>159</v>
      </c>
      <c r="Z40" s="144" t="s">
        <v>159</v>
      </c>
      <c r="AA40" s="144" t="s">
        <v>159</v>
      </c>
      <c r="AB40" s="144" t="s">
        <v>159</v>
      </c>
      <c r="AC40" s="144"/>
      <c r="AD40" s="111" t="s">
        <v>213</v>
      </c>
      <c r="AE40" s="260" t="s">
        <v>160</v>
      </c>
    </row>
    <row r="41" spans="1:33" ht="12" customHeight="1">
      <c r="B41" s="11" t="s">
        <v>572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11"/>
      <c r="AE41" s="260"/>
      <c r="AG41" s="221" t="s">
        <v>573</v>
      </c>
    </row>
    <row r="42" spans="1:33" s="148" customFormat="1" ht="12" customHeight="1">
      <c r="A42" s="223" t="s">
        <v>142</v>
      </c>
      <c r="B42" s="145" t="s">
        <v>574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7"/>
      <c r="AD42" s="142"/>
      <c r="AE42" s="142"/>
      <c r="AG42" s="674"/>
    </row>
    <row r="43" spans="1:33" ht="12" customHeight="1">
      <c r="B43" s="149" t="s">
        <v>575</v>
      </c>
      <c r="C43" s="204">
        <v>0</v>
      </c>
      <c r="D43" s="204">
        <v>0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f>S63+S64-S44</f>
        <v>0</v>
      </c>
      <c r="T43" s="204">
        <f>T63+T64-T44</f>
        <v>0</v>
      </c>
      <c r="U43" s="204">
        <f>U63+U64-U44</f>
        <v>0</v>
      </c>
      <c r="V43" s="204">
        <f>V63+V64-V44</f>
        <v>0</v>
      </c>
      <c r="W43" s="204">
        <v>0</v>
      </c>
      <c r="X43" s="204">
        <v>0</v>
      </c>
      <c r="Y43" s="204">
        <v>0</v>
      </c>
      <c r="Z43" s="204">
        <v>0</v>
      </c>
      <c r="AA43" s="204">
        <v>0</v>
      </c>
      <c r="AB43" s="204">
        <v>0</v>
      </c>
      <c r="AD43" s="8" t="str">
        <f t="shared" ref="AD43:AD53" si="55">IFERROR(AVERAGE((M43-L43)/L43,(N43-M43)/M43,(O43-N43)/N43,(P43-O43)/O43,(Q43-P43)/P43),"")</f>
        <v/>
      </c>
      <c r="AG43" s="221" t="s">
        <v>576</v>
      </c>
    </row>
    <row r="44" spans="1:33" ht="12" customHeight="1">
      <c r="B44" s="149" t="s">
        <v>577</v>
      </c>
      <c r="C44" s="204">
        <v>0</v>
      </c>
      <c r="D44" s="204">
        <v>0</v>
      </c>
      <c r="E44" s="204">
        <v>0</v>
      </c>
      <c r="F44" s="204">
        <v>0</v>
      </c>
      <c r="G44" s="204">
        <v>0</v>
      </c>
      <c r="H44" s="204">
        <v>0</v>
      </c>
      <c r="I44" s="204">
        <v>0</v>
      </c>
      <c r="J44" s="204">
        <v>0</v>
      </c>
      <c r="K44" s="204">
        <v>0</v>
      </c>
      <c r="L44" s="204">
        <v>0</v>
      </c>
      <c r="M44" s="204">
        <v>0</v>
      </c>
      <c r="N44" s="204">
        <v>0</v>
      </c>
      <c r="O44" s="204">
        <v>0</v>
      </c>
      <c r="P44" s="204">
        <v>0</v>
      </c>
      <c r="Q44" s="204">
        <v>0</v>
      </c>
      <c r="R44" s="204">
        <v>0</v>
      </c>
      <c r="S44" s="204">
        <v>0</v>
      </c>
      <c r="T44" s="204">
        <v>0</v>
      </c>
      <c r="U44" s="204">
        <v>0</v>
      </c>
      <c r="V44" s="204">
        <v>0</v>
      </c>
      <c r="W44" s="204">
        <v>0</v>
      </c>
      <c r="X44" s="204">
        <v>0</v>
      </c>
      <c r="Y44" s="204">
        <v>0</v>
      </c>
      <c r="Z44" s="204">
        <v>0</v>
      </c>
      <c r="AA44" s="204">
        <v>0</v>
      </c>
      <c r="AB44" s="204">
        <v>0</v>
      </c>
      <c r="AD44" s="150" t="str">
        <f t="shared" si="55"/>
        <v/>
      </c>
      <c r="AG44" s="221" t="s">
        <v>578</v>
      </c>
    </row>
    <row r="45" spans="1:33" ht="12" customHeight="1">
      <c r="B45" s="219" t="s">
        <v>579</v>
      </c>
      <c r="C45" s="485">
        <f t="shared" ref="C45:V45" si="56">SUM(C43:C44)</f>
        <v>0</v>
      </c>
      <c r="D45" s="485">
        <f t="shared" si="56"/>
        <v>0</v>
      </c>
      <c r="E45" s="485">
        <f t="shared" si="56"/>
        <v>0</v>
      </c>
      <c r="F45" s="485">
        <f t="shared" si="56"/>
        <v>0</v>
      </c>
      <c r="G45" s="485">
        <f t="shared" si="56"/>
        <v>0</v>
      </c>
      <c r="H45" s="485">
        <f t="shared" si="56"/>
        <v>0</v>
      </c>
      <c r="I45" s="485">
        <f t="shared" si="56"/>
        <v>0</v>
      </c>
      <c r="J45" s="485">
        <f t="shared" si="56"/>
        <v>0</v>
      </c>
      <c r="K45" s="485">
        <f t="shared" si="56"/>
        <v>0</v>
      </c>
      <c r="L45" s="485">
        <f t="shared" si="56"/>
        <v>0</v>
      </c>
      <c r="M45" s="485">
        <f t="shared" si="56"/>
        <v>0</v>
      </c>
      <c r="N45" s="485">
        <f t="shared" si="56"/>
        <v>0</v>
      </c>
      <c r="O45" s="485">
        <f t="shared" si="56"/>
        <v>0</v>
      </c>
      <c r="P45" s="485">
        <f t="shared" si="56"/>
        <v>0</v>
      </c>
      <c r="Q45" s="485">
        <f t="shared" si="56"/>
        <v>0</v>
      </c>
      <c r="R45" s="485">
        <f t="shared" si="56"/>
        <v>0</v>
      </c>
      <c r="S45" s="485">
        <f t="shared" si="56"/>
        <v>0</v>
      </c>
      <c r="T45" s="485">
        <f t="shared" si="56"/>
        <v>0</v>
      </c>
      <c r="U45" s="485">
        <f t="shared" si="56"/>
        <v>0</v>
      </c>
      <c r="V45" s="485">
        <f t="shared" si="56"/>
        <v>0</v>
      </c>
      <c r="W45" s="485">
        <f t="shared" ref="W45:X45" si="57">SUM(W43:W44)</f>
        <v>0</v>
      </c>
      <c r="X45" s="485">
        <f t="shared" si="57"/>
        <v>0</v>
      </c>
      <c r="Y45" s="485">
        <f t="shared" ref="Y45:Z45" si="58">SUM(Y43:Y44)</f>
        <v>0</v>
      </c>
      <c r="Z45" s="485">
        <f t="shared" si="58"/>
        <v>0</v>
      </c>
      <c r="AA45" s="204">
        <v>0</v>
      </c>
      <c r="AB45" s="204">
        <v>0</v>
      </c>
      <c r="AD45" s="8" t="str">
        <f t="shared" si="55"/>
        <v/>
      </c>
    </row>
    <row r="46" spans="1:33" ht="12" customHeight="1">
      <c r="B46" s="149" t="s">
        <v>580</v>
      </c>
      <c r="C46" s="204">
        <v>0</v>
      </c>
      <c r="D46" s="204">
        <v>0</v>
      </c>
      <c r="E46" s="204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  <c r="S46" s="204">
        <v>0</v>
      </c>
      <c r="T46" s="204">
        <v>0</v>
      </c>
      <c r="U46" s="204">
        <v>0</v>
      </c>
      <c r="V46" s="204">
        <v>0</v>
      </c>
      <c r="W46" s="204">
        <v>0</v>
      </c>
      <c r="X46" s="204">
        <v>0</v>
      </c>
      <c r="Y46" s="204">
        <v>0</v>
      </c>
      <c r="Z46" s="204">
        <v>0</v>
      </c>
      <c r="AA46" s="204">
        <v>0</v>
      </c>
      <c r="AB46" s="204">
        <v>0</v>
      </c>
      <c r="AD46" s="150" t="str">
        <f t="shared" si="55"/>
        <v/>
      </c>
    </row>
    <row r="47" spans="1:33" ht="12" customHeight="1">
      <c r="B47" s="149" t="s">
        <v>581</v>
      </c>
      <c r="C47" s="204">
        <v>0</v>
      </c>
      <c r="D47" s="204">
        <v>0</v>
      </c>
      <c r="E47" s="204">
        <v>0</v>
      </c>
      <c r="F47" s="204">
        <v>0</v>
      </c>
      <c r="G47" s="204">
        <v>0</v>
      </c>
      <c r="H47" s="204">
        <v>0</v>
      </c>
      <c r="I47" s="204"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204">
        <v>0</v>
      </c>
      <c r="Q47" s="204">
        <v>0</v>
      </c>
      <c r="R47" s="204">
        <v>0</v>
      </c>
      <c r="S47" s="204">
        <v>0</v>
      </c>
      <c r="T47" s="204">
        <v>0</v>
      </c>
      <c r="U47" s="204">
        <v>0</v>
      </c>
      <c r="V47" s="204">
        <v>0</v>
      </c>
      <c r="W47" s="204">
        <v>0</v>
      </c>
      <c r="X47" s="204">
        <v>0</v>
      </c>
      <c r="Y47" s="204">
        <v>0</v>
      </c>
      <c r="Z47" s="204">
        <v>0</v>
      </c>
      <c r="AA47" s="204">
        <v>0</v>
      </c>
      <c r="AB47" s="204">
        <v>0</v>
      </c>
      <c r="AD47" s="150" t="str">
        <f t="shared" si="55"/>
        <v/>
      </c>
    </row>
    <row r="48" spans="1:33" ht="12" customHeight="1">
      <c r="B48" s="149" t="s">
        <v>582</v>
      </c>
      <c r="C48" s="204">
        <v>0</v>
      </c>
      <c r="D48" s="204">
        <v>0</v>
      </c>
      <c r="E48" s="204">
        <v>0</v>
      </c>
      <c r="F48" s="204">
        <v>0</v>
      </c>
      <c r="G48" s="204">
        <v>0</v>
      </c>
      <c r="H48" s="204">
        <v>0</v>
      </c>
      <c r="I48" s="204">
        <v>0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0</v>
      </c>
      <c r="V48" s="204">
        <v>0</v>
      </c>
      <c r="W48" s="204">
        <v>0</v>
      </c>
      <c r="X48" s="204">
        <v>0</v>
      </c>
      <c r="Y48" s="204">
        <v>0</v>
      </c>
      <c r="Z48" s="204">
        <v>0</v>
      </c>
      <c r="AA48" s="204">
        <v>0</v>
      </c>
      <c r="AB48" s="204">
        <v>0</v>
      </c>
      <c r="AD48" s="143" t="str">
        <f t="shared" si="55"/>
        <v/>
      </c>
    </row>
    <row r="49" spans="1:33" ht="12" customHeight="1">
      <c r="B49" s="151" t="s">
        <v>583</v>
      </c>
      <c r="C49" s="486">
        <f t="shared" ref="C49:N49" si="59">SUM(C45:C48)</f>
        <v>0</v>
      </c>
      <c r="D49" s="486">
        <f t="shared" si="59"/>
        <v>0</v>
      </c>
      <c r="E49" s="486">
        <f t="shared" si="59"/>
        <v>0</v>
      </c>
      <c r="F49" s="486">
        <f t="shared" si="59"/>
        <v>0</v>
      </c>
      <c r="G49" s="486">
        <f t="shared" si="59"/>
        <v>0</v>
      </c>
      <c r="H49" s="486">
        <f t="shared" si="59"/>
        <v>0</v>
      </c>
      <c r="I49" s="486">
        <f t="shared" si="59"/>
        <v>0</v>
      </c>
      <c r="J49" s="486">
        <f t="shared" si="59"/>
        <v>0</v>
      </c>
      <c r="K49" s="486">
        <f t="shared" si="59"/>
        <v>0</v>
      </c>
      <c r="L49" s="486">
        <f t="shared" si="59"/>
        <v>0</v>
      </c>
      <c r="M49" s="486">
        <f t="shared" si="59"/>
        <v>0</v>
      </c>
      <c r="N49" s="486">
        <f t="shared" si="59"/>
        <v>0</v>
      </c>
      <c r="O49" s="486">
        <f>SUM(O45:O48)</f>
        <v>0</v>
      </c>
      <c r="P49" s="486">
        <f>SUM(P45:P48)</f>
        <v>0</v>
      </c>
      <c r="Q49" s="486">
        <f t="shared" ref="Q49:V49" si="60">SUM(Q45:Q48)</f>
        <v>0</v>
      </c>
      <c r="R49" s="486">
        <f t="shared" si="60"/>
        <v>0</v>
      </c>
      <c r="S49" s="486">
        <f t="shared" si="60"/>
        <v>0</v>
      </c>
      <c r="T49" s="486">
        <f t="shared" si="60"/>
        <v>0</v>
      </c>
      <c r="U49" s="486">
        <f t="shared" si="60"/>
        <v>0</v>
      </c>
      <c r="V49" s="486">
        <f t="shared" si="60"/>
        <v>0</v>
      </c>
      <c r="W49" s="486">
        <f t="shared" ref="W49:X49" si="61">SUM(W45:W48)</f>
        <v>0</v>
      </c>
      <c r="X49" s="486">
        <f t="shared" si="61"/>
        <v>0</v>
      </c>
      <c r="Y49" s="486">
        <f t="shared" ref="Y49:Z49" si="62">SUM(Y45:Y48)</f>
        <v>0</v>
      </c>
      <c r="Z49" s="486">
        <f t="shared" si="62"/>
        <v>0</v>
      </c>
      <c r="AA49" s="486">
        <f t="shared" ref="AA49:AB49" si="63">SUM(AA45:AA48)</f>
        <v>0</v>
      </c>
      <c r="AB49" s="486">
        <f t="shared" si="63"/>
        <v>0</v>
      </c>
      <c r="AD49" s="8" t="str">
        <f t="shared" si="55"/>
        <v/>
      </c>
    </row>
    <row r="50" spans="1:33" ht="12" customHeight="1">
      <c r="K50" s="4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D50" s="142" t="str">
        <f t="shared" si="55"/>
        <v/>
      </c>
    </row>
    <row r="51" spans="1:33" s="153" customFormat="1" ht="12" customHeight="1">
      <c r="A51" s="223" t="s">
        <v>142</v>
      </c>
      <c r="B51" s="205" t="s">
        <v>584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  <c r="O51" s="155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156"/>
      <c r="AD51" s="157" t="str">
        <f t="shared" si="55"/>
        <v/>
      </c>
      <c r="AE51" s="152"/>
      <c r="AF51" s="881"/>
      <c r="AG51" s="881"/>
    </row>
    <row r="52" spans="1:33" ht="12" customHeight="1">
      <c r="B52" s="149" t="s">
        <v>585</v>
      </c>
      <c r="C52" s="204">
        <v>0</v>
      </c>
      <c r="D52" s="204">
        <v>0</v>
      </c>
      <c r="E52" s="204">
        <v>0</v>
      </c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0</v>
      </c>
      <c r="P52" s="204">
        <v>0</v>
      </c>
      <c r="Q52" s="204">
        <v>0</v>
      </c>
      <c r="R52" s="204">
        <v>0</v>
      </c>
      <c r="S52" s="204">
        <v>0</v>
      </c>
      <c r="T52" s="204">
        <v>0</v>
      </c>
      <c r="U52" s="204">
        <v>0</v>
      </c>
      <c r="V52" s="204">
        <v>0</v>
      </c>
      <c r="W52" s="204">
        <v>0</v>
      </c>
      <c r="X52" s="204">
        <v>0</v>
      </c>
      <c r="Y52" s="204">
        <v>0</v>
      </c>
      <c r="Z52" s="204">
        <v>0</v>
      </c>
      <c r="AA52" s="204">
        <v>0</v>
      </c>
      <c r="AB52" s="204">
        <v>0</v>
      </c>
      <c r="AD52" s="8" t="str">
        <f t="shared" si="55"/>
        <v/>
      </c>
    </row>
    <row r="53" spans="1:33" ht="12" customHeight="1" thickBot="1">
      <c r="B53" s="837" t="s">
        <v>586</v>
      </c>
      <c r="C53" s="838">
        <f t="shared" ref="C53:W53" si="64">IF(C52&gt;0,C52-C45,0)</f>
        <v>0</v>
      </c>
      <c r="D53" s="838">
        <f t="shared" si="64"/>
        <v>0</v>
      </c>
      <c r="E53" s="838">
        <f t="shared" si="64"/>
        <v>0</v>
      </c>
      <c r="F53" s="838">
        <f t="shared" si="64"/>
        <v>0</v>
      </c>
      <c r="G53" s="838">
        <f t="shared" si="64"/>
        <v>0</v>
      </c>
      <c r="H53" s="838">
        <f t="shared" si="64"/>
        <v>0</v>
      </c>
      <c r="I53" s="838">
        <f t="shared" si="64"/>
        <v>0</v>
      </c>
      <c r="J53" s="838">
        <f t="shared" si="64"/>
        <v>0</v>
      </c>
      <c r="K53" s="838">
        <f t="shared" si="64"/>
        <v>0</v>
      </c>
      <c r="L53" s="838">
        <f t="shared" si="64"/>
        <v>0</v>
      </c>
      <c r="M53" s="838">
        <f t="shared" si="64"/>
        <v>0</v>
      </c>
      <c r="N53" s="838">
        <f t="shared" si="64"/>
        <v>0</v>
      </c>
      <c r="O53" s="838">
        <f t="shared" si="64"/>
        <v>0</v>
      </c>
      <c r="P53" s="838">
        <f t="shared" si="64"/>
        <v>0</v>
      </c>
      <c r="Q53" s="838">
        <f t="shared" si="64"/>
        <v>0</v>
      </c>
      <c r="R53" s="838">
        <f t="shared" si="64"/>
        <v>0</v>
      </c>
      <c r="S53" s="838">
        <f t="shared" si="64"/>
        <v>0</v>
      </c>
      <c r="T53" s="838">
        <f t="shared" si="64"/>
        <v>0</v>
      </c>
      <c r="U53" s="838">
        <f t="shared" si="64"/>
        <v>0</v>
      </c>
      <c r="V53" s="838">
        <f t="shared" si="64"/>
        <v>0</v>
      </c>
      <c r="W53" s="838">
        <f t="shared" si="64"/>
        <v>0</v>
      </c>
      <c r="X53" s="838">
        <f t="shared" ref="X53:Y53" si="65">IF(X52&gt;0,X52-X45,0)</f>
        <v>0</v>
      </c>
      <c r="Y53" s="838">
        <f t="shared" si="65"/>
        <v>0</v>
      </c>
      <c r="Z53" s="838">
        <f t="shared" ref="Z53:AB53" si="66">IF(Z52&gt;0,Z52-Z45,0)</f>
        <v>0</v>
      </c>
      <c r="AA53" s="838">
        <f t="shared" si="66"/>
        <v>0</v>
      </c>
      <c r="AB53" s="838">
        <f t="shared" si="66"/>
        <v>0</v>
      </c>
      <c r="AD53" s="8" t="str">
        <f t="shared" si="55"/>
        <v/>
      </c>
    </row>
    <row r="54" spans="1:33" s="49" customFormat="1" ht="12" customHeight="1" thickTop="1">
      <c r="A54" s="206"/>
      <c r="B54" s="831" t="s">
        <v>390</v>
      </c>
      <c r="C54" s="832" t="str">
        <f t="shared" ref="C54" si="67">IFERROR(C53/C45,"")</f>
        <v/>
      </c>
      <c r="D54" s="832" t="str">
        <f t="shared" ref="D54" si="68">IFERROR(D53/D45,"")</f>
        <v/>
      </c>
      <c r="E54" s="832" t="str">
        <f t="shared" ref="E54" si="69">IFERROR(E53/E45,"")</f>
        <v/>
      </c>
      <c r="F54" s="832" t="str">
        <f t="shared" ref="F54" si="70">IFERROR(F53/F45,"")</f>
        <v/>
      </c>
      <c r="G54" s="832" t="str">
        <f t="shared" ref="G54" si="71">IFERROR(G53/G45,"")</f>
        <v/>
      </c>
      <c r="H54" s="832" t="str">
        <f t="shared" ref="H54" si="72">IFERROR(H53/H45,"")</f>
        <v/>
      </c>
      <c r="I54" s="832" t="str">
        <f t="shared" ref="I54" si="73">IFERROR(I53/I45,"")</f>
        <v/>
      </c>
      <c r="J54" s="832" t="str">
        <f t="shared" ref="J54" si="74">IFERROR(J53/J45,"")</f>
        <v/>
      </c>
      <c r="K54" s="832" t="str">
        <f t="shared" ref="K54" si="75">IFERROR(K53/K45,"")</f>
        <v/>
      </c>
      <c r="L54" s="832" t="str">
        <f t="shared" ref="L54" si="76">IFERROR(L53/L45,"")</f>
        <v/>
      </c>
      <c r="M54" s="832" t="str">
        <f t="shared" ref="M54" si="77">IFERROR(M53/M45,"")</f>
        <v/>
      </c>
      <c r="N54" s="832" t="str">
        <f t="shared" ref="N54" si="78">IFERROR(N53/N45,"")</f>
        <v/>
      </c>
      <c r="O54" s="832" t="str">
        <f t="shared" ref="O54" si="79">IFERROR(O53/O45,"")</f>
        <v/>
      </c>
      <c r="P54" s="832" t="str">
        <f t="shared" ref="P54" si="80">IFERROR(P53/P45,"")</f>
        <v/>
      </c>
      <c r="Q54" s="832" t="str">
        <f t="shared" ref="Q54" si="81">IFERROR(Q53/Q45,"")</f>
        <v/>
      </c>
      <c r="R54" s="832" t="str">
        <f t="shared" ref="R54" si="82">IFERROR(R53/R45,"")</f>
        <v/>
      </c>
      <c r="S54" s="832" t="str">
        <f t="shared" ref="S54" si="83">IFERROR(S53/S45,"")</f>
        <v/>
      </c>
      <c r="T54" s="832" t="str">
        <f t="shared" ref="T54" si="84">IFERROR(T53/T45,"")</f>
        <v/>
      </c>
      <c r="U54" s="832" t="str">
        <f t="shared" ref="U54" si="85">IFERROR(U53/U45,"")</f>
        <v/>
      </c>
      <c r="V54" s="832" t="str">
        <f t="shared" ref="V54:W54" si="86">IFERROR(V53/V45,"")</f>
        <v/>
      </c>
      <c r="W54" s="832" t="str">
        <f t="shared" si="86"/>
        <v/>
      </c>
      <c r="X54" s="832" t="str">
        <f t="shared" ref="X54:Y54" si="87">IFERROR(X53/X45,"")</f>
        <v/>
      </c>
      <c r="Y54" s="832" t="str">
        <f t="shared" si="87"/>
        <v/>
      </c>
      <c r="Z54" s="832" t="str">
        <f t="shared" ref="Z54:AB54" si="88">IFERROR(Z53/Z45,"")</f>
        <v/>
      </c>
      <c r="AA54" s="832" t="str">
        <f t="shared" si="88"/>
        <v/>
      </c>
      <c r="AB54" s="832" t="str">
        <f t="shared" si="88"/>
        <v/>
      </c>
      <c r="AC54" s="76"/>
      <c r="AF54" s="206"/>
      <c r="AG54" s="206"/>
    </row>
    <row r="55" spans="1:33" s="160" customFormat="1" ht="12" customHeight="1">
      <c r="A55" s="225"/>
      <c r="B55" s="161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87"/>
      <c r="Q55" s="487"/>
      <c r="R55" s="487"/>
      <c r="S55" s="487"/>
      <c r="T55" s="487"/>
      <c r="U55" s="487"/>
      <c r="V55" s="487"/>
      <c r="W55" s="487"/>
      <c r="X55" s="487"/>
      <c r="Y55" s="487"/>
      <c r="Z55" s="487"/>
      <c r="AA55" s="487"/>
      <c r="AB55" s="487"/>
      <c r="AC55" s="13"/>
      <c r="AD55" s="143" t="str">
        <f t="shared" ref="AD55:AD64" si="89">IFERROR(AVERAGE((M55-L55)/L55,(N55-M55)/M55,(O55-N55)/N55,(P55-O55)/O55,(Q55-P55)/P55),"")</f>
        <v/>
      </c>
      <c r="AE55" s="143"/>
      <c r="AF55" s="884"/>
      <c r="AG55" s="225"/>
    </row>
    <row r="56" spans="1:33" s="11" customFormat="1" ht="12" customHeight="1">
      <c r="A56" s="230" t="s">
        <v>217</v>
      </c>
      <c r="B56" s="145" t="s">
        <v>587</v>
      </c>
      <c r="C56" s="13"/>
      <c r="D56" s="13"/>
      <c r="E56" s="13"/>
      <c r="F56" s="13"/>
      <c r="G56" s="13"/>
      <c r="H56" s="13"/>
      <c r="I56" s="13"/>
      <c r="J56" s="13"/>
      <c r="K56" s="154"/>
      <c r="L56" s="154"/>
      <c r="M56" s="154"/>
      <c r="N56" s="144"/>
      <c r="O56" s="144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13"/>
      <c r="AD56" s="142" t="str">
        <f t="shared" si="89"/>
        <v/>
      </c>
      <c r="AE56" s="142"/>
      <c r="AF56" s="900"/>
      <c r="AG56" s="900"/>
    </row>
    <row r="57" spans="1:33" ht="12" customHeight="1">
      <c r="B57" s="37" t="s">
        <v>27</v>
      </c>
      <c r="C57" s="204">
        <v>0</v>
      </c>
      <c r="D57" s="204">
        <v>0</v>
      </c>
      <c r="E57" s="204">
        <v>0</v>
      </c>
      <c r="F57" s="204">
        <v>0</v>
      </c>
      <c r="G57" s="204">
        <v>0</v>
      </c>
      <c r="H57" s="204">
        <v>0</v>
      </c>
      <c r="I57" s="204">
        <v>0</v>
      </c>
      <c r="J57" s="204">
        <v>0</v>
      </c>
      <c r="K57" s="204">
        <v>0</v>
      </c>
      <c r="L57" s="204">
        <v>0</v>
      </c>
      <c r="M57" s="204">
        <v>0</v>
      </c>
      <c r="N57" s="204">
        <v>0</v>
      </c>
      <c r="O57" s="204">
        <v>0</v>
      </c>
      <c r="P57" s="204">
        <v>0</v>
      </c>
      <c r="Q57" s="169">
        <f>+P57</f>
        <v>0</v>
      </c>
      <c r="R57" s="169">
        <v>0</v>
      </c>
      <c r="S57" s="169">
        <f t="shared" ref="S57:Z57" si="90">+R57</f>
        <v>0</v>
      </c>
      <c r="T57" s="169">
        <f t="shared" si="90"/>
        <v>0</v>
      </c>
      <c r="U57" s="169">
        <f t="shared" si="90"/>
        <v>0</v>
      </c>
      <c r="V57" s="169">
        <f t="shared" si="90"/>
        <v>0</v>
      </c>
      <c r="W57" s="169">
        <f t="shared" si="90"/>
        <v>0</v>
      </c>
      <c r="X57" s="169">
        <f t="shared" si="90"/>
        <v>0</v>
      </c>
      <c r="Y57" s="169">
        <f t="shared" si="90"/>
        <v>0</v>
      </c>
      <c r="Z57" s="169">
        <f t="shared" si="90"/>
        <v>0</v>
      </c>
      <c r="AA57" s="169">
        <f t="shared" ref="AA57" si="91">+Z57</f>
        <v>0</v>
      </c>
      <c r="AB57" s="169">
        <f t="shared" ref="AB57" si="92">+AA57</f>
        <v>0</v>
      </c>
      <c r="AD57" s="8" t="str">
        <f t="shared" si="89"/>
        <v/>
      </c>
      <c r="AE57" s="779" t="s">
        <v>474</v>
      </c>
    </row>
    <row r="58" spans="1:33" ht="12" customHeight="1">
      <c r="B58" s="37" t="s">
        <v>32</v>
      </c>
      <c r="C58" s="204">
        <v>0</v>
      </c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4">
        <v>0</v>
      </c>
      <c r="Q58" s="204">
        <f>P58*(1+$AE$23)</f>
        <v>0</v>
      </c>
      <c r="R58" s="169">
        <v>0</v>
      </c>
      <c r="S58" s="169">
        <f t="shared" ref="S58:Z58" si="93">ROUND(R58*(1+$AE58),0)</f>
        <v>0</v>
      </c>
      <c r="T58" s="169">
        <f t="shared" si="93"/>
        <v>0</v>
      </c>
      <c r="U58" s="169">
        <f t="shared" si="93"/>
        <v>0</v>
      </c>
      <c r="V58" s="169">
        <f t="shared" si="93"/>
        <v>0</v>
      </c>
      <c r="W58" s="169">
        <f t="shared" si="93"/>
        <v>0</v>
      </c>
      <c r="X58" s="169">
        <f t="shared" si="93"/>
        <v>0</v>
      </c>
      <c r="Y58" s="169">
        <f t="shared" si="93"/>
        <v>0</v>
      </c>
      <c r="Z58" s="169">
        <f t="shared" si="93"/>
        <v>0</v>
      </c>
      <c r="AA58" s="169">
        <f t="shared" ref="AA58:AB58" si="94">ROUND(Z58*(1+$AE58),0)</f>
        <v>0</v>
      </c>
      <c r="AB58" s="169">
        <f t="shared" si="94"/>
        <v>0</v>
      </c>
      <c r="AD58" s="8" t="str">
        <f t="shared" si="89"/>
        <v/>
      </c>
      <c r="AE58" s="163">
        <v>0</v>
      </c>
    </row>
    <row r="59" spans="1:33" ht="12" customHeight="1">
      <c r="B59" s="37" t="s">
        <v>588</v>
      </c>
      <c r="C59" s="204">
        <v>0</v>
      </c>
      <c r="D59" s="204">
        <v>0</v>
      </c>
      <c r="E59" s="204">
        <v>0</v>
      </c>
      <c r="F59" s="204">
        <v>0</v>
      </c>
      <c r="G59" s="204">
        <v>0</v>
      </c>
      <c r="H59" s="204">
        <v>0</v>
      </c>
      <c r="I59" s="204">
        <v>0</v>
      </c>
      <c r="J59" s="204">
        <v>0</v>
      </c>
      <c r="K59" s="204">
        <v>0</v>
      </c>
      <c r="L59" s="204">
        <v>0</v>
      </c>
      <c r="M59" s="204">
        <v>0</v>
      </c>
      <c r="N59" s="204">
        <f>+Debt!N72+Debt!N79</f>
        <v>0</v>
      </c>
      <c r="O59" s="204">
        <f>+Debt!O72+Debt!O79</f>
        <v>0</v>
      </c>
      <c r="P59" s="204">
        <f>+Debt!P72+Debt!P79</f>
        <v>0</v>
      </c>
      <c r="Q59" s="204">
        <f>+Debt!Q72+Debt!Q79</f>
        <v>0</v>
      </c>
      <c r="R59" s="204">
        <f>+Debt!R72+Debt!R79</f>
        <v>0</v>
      </c>
      <c r="S59" s="204">
        <f>+Debt!S72+Debt!S79</f>
        <v>0</v>
      </c>
      <c r="T59" s="204">
        <f>+Debt!T72+Debt!T79</f>
        <v>0</v>
      </c>
      <c r="U59" s="204">
        <f>+Debt!U72+Debt!U79</f>
        <v>0</v>
      </c>
      <c r="V59" s="204">
        <f>+Debt!V72+Debt!V79</f>
        <v>0</v>
      </c>
      <c r="W59" s="204">
        <f>+Debt!W72+Debt!W79</f>
        <v>0</v>
      </c>
      <c r="X59" s="204">
        <f>+Debt!X72+Debt!X79</f>
        <v>0</v>
      </c>
      <c r="Y59" s="204">
        <f>+Debt!Y72+Debt!Y79</f>
        <v>0</v>
      </c>
      <c r="Z59" s="204">
        <f>+Debt!AA72+Debt!AA79</f>
        <v>0</v>
      </c>
      <c r="AA59" s="204">
        <f>+Debt!AB72+Debt!AB79</f>
        <v>0</v>
      </c>
      <c r="AB59" s="204">
        <f>+Debt!AC72+Debt!AC79</f>
        <v>0</v>
      </c>
      <c r="AD59" s="8" t="str">
        <f t="shared" si="89"/>
        <v/>
      </c>
      <c r="AE59" s="785" t="s">
        <v>262</v>
      </c>
      <c r="AG59" s="221" t="s">
        <v>589</v>
      </c>
    </row>
    <row r="60" spans="1:33" ht="12" customHeight="1">
      <c r="B60" s="756" t="s">
        <v>590</v>
      </c>
      <c r="C60" s="204">
        <v>0</v>
      </c>
      <c r="D60" s="204">
        <f>+CIP!D73</f>
        <v>0</v>
      </c>
      <c r="E60" s="204">
        <f>+CIP!E73</f>
        <v>0</v>
      </c>
      <c r="F60" s="204">
        <f>+CIP!F73</f>
        <v>0</v>
      </c>
      <c r="G60" s="204">
        <f>+CIP!G73</f>
        <v>0</v>
      </c>
      <c r="H60" s="204">
        <f>+CIP!H73</f>
        <v>0</v>
      </c>
      <c r="I60" s="204">
        <f>+CIP!I73</f>
        <v>0</v>
      </c>
      <c r="J60" s="204">
        <f>+CIP!J73</f>
        <v>0</v>
      </c>
      <c r="K60" s="204">
        <f>+CIP!K73</f>
        <v>0</v>
      </c>
      <c r="L60" s="204">
        <f>+CIP!L73</f>
        <v>0</v>
      </c>
      <c r="M60" s="204">
        <f>+CIP!M73</f>
        <v>0</v>
      </c>
      <c r="N60" s="204">
        <f>+CIP!N73</f>
        <v>0</v>
      </c>
      <c r="O60" s="204">
        <f>+CIP!O73</f>
        <v>0</v>
      </c>
      <c r="P60" s="204">
        <f>+CIP!P73</f>
        <v>0</v>
      </c>
      <c r="Q60" s="204">
        <f>+CIP!Q73</f>
        <v>0</v>
      </c>
      <c r="R60" s="204">
        <f>+CIP!R73</f>
        <v>0</v>
      </c>
      <c r="S60" s="204">
        <f>+CIP!S73</f>
        <v>0</v>
      </c>
      <c r="T60" s="204">
        <f>+CIP!T73</f>
        <v>0</v>
      </c>
      <c r="U60" s="204">
        <f>+CIP!U73</f>
        <v>0</v>
      </c>
      <c r="V60" s="204">
        <f>+CIP!V73</f>
        <v>0</v>
      </c>
      <c r="W60" s="204">
        <f>+CIP!W73</f>
        <v>0</v>
      </c>
      <c r="X60" s="204">
        <f>+CIP!X73</f>
        <v>0</v>
      </c>
      <c r="Y60" s="204">
        <f>+CIP!Y73</f>
        <v>0</v>
      </c>
      <c r="Z60" s="204">
        <f>+CIP!AA73</f>
        <v>0</v>
      </c>
      <c r="AA60" s="204">
        <f>+CIP!AB73</f>
        <v>0</v>
      </c>
      <c r="AB60" s="204">
        <f>+CIP!AC73</f>
        <v>0</v>
      </c>
      <c r="AD60" s="143" t="str">
        <f t="shared" si="89"/>
        <v/>
      </c>
      <c r="AE60" s="783" t="s">
        <v>555</v>
      </c>
      <c r="AG60" s="221" t="s">
        <v>591</v>
      </c>
    </row>
    <row r="61" spans="1:33" ht="12" customHeight="1">
      <c r="B61" s="37" t="s">
        <v>153</v>
      </c>
      <c r="C61" s="204">
        <v>0</v>
      </c>
      <c r="D61" s="204">
        <v>0</v>
      </c>
      <c r="E61" s="204">
        <v>0</v>
      </c>
      <c r="F61" s="204">
        <v>0</v>
      </c>
      <c r="G61" s="204">
        <v>0</v>
      </c>
      <c r="H61" s="204">
        <v>0</v>
      </c>
      <c r="I61" s="204">
        <v>0</v>
      </c>
      <c r="J61" s="204">
        <v>0</v>
      </c>
      <c r="K61" s="204">
        <v>0</v>
      </c>
      <c r="L61" s="204">
        <v>0</v>
      </c>
      <c r="M61" s="204">
        <v>0</v>
      </c>
      <c r="N61" s="204">
        <v>0</v>
      </c>
      <c r="O61" s="204">
        <v>0</v>
      </c>
      <c r="P61" s="204">
        <v>0</v>
      </c>
      <c r="Q61" s="204">
        <v>0</v>
      </c>
      <c r="R61" s="204">
        <v>0</v>
      </c>
      <c r="S61" s="204">
        <v>0</v>
      </c>
      <c r="T61" s="204">
        <v>0</v>
      </c>
      <c r="U61" s="204">
        <v>0</v>
      </c>
      <c r="V61" s="204">
        <v>0</v>
      </c>
      <c r="W61" s="204">
        <v>0</v>
      </c>
      <c r="X61" s="204">
        <v>0</v>
      </c>
      <c r="Y61" s="204">
        <v>0</v>
      </c>
      <c r="Z61" s="204">
        <v>0</v>
      </c>
      <c r="AA61" s="204">
        <v>0</v>
      </c>
      <c r="AB61" s="204">
        <v>0</v>
      </c>
      <c r="AD61" s="143" t="str">
        <f t="shared" si="89"/>
        <v/>
      </c>
      <c r="AE61" s="4"/>
    </row>
    <row r="62" spans="1:33" ht="12" customHeight="1">
      <c r="B62" s="37" t="s">
        <v>592</v>
      </c>
      <c r="C62" s="204">
        <v>0</v>
      </c>
      <c r="D62" s="204">
        <v>0</v>
      </c>
      <c r="E62" s="204">
        <v>0</v>
      </c>
      <c r="F62" s="204">
        <v>0</v>
      </c>
      <c r="G62" s="204">
        <v>0</v>
      </c>
      <c r="H62" s="204">
        <v>0</v>
      </c>
      <c r="I62" s="204">
        <v>0</v>
      </c>
      <c r="J62" s="204">
        <v>0</v>
      </c>
      <c r="K62" s="204">
        <v>0</v>
      </c>
      <c r="L62" s="204">
        <v>0</v>
      </c>
      <c r="M62" s="204">
        <v>0</v>
      </c>
      <c r="N62" s="204">
        <v>0</v>
      </c>
      <c r="O62" s="204">
        <v>0</v>
      </c>
      <c r="P62" s="204">
        <v>0</v>
      </c>
      <c r="Q62" s="204">
        <v>0</v>
      </c>
      <c r="R62" s="204">
        <v>0</v>
      </c>
      <c r="S62" s="204">
        <v>0</v>
      </c>
      <c r="T62" s="204">
        <v>0</v>
      </c>
      <c r="U62" s="204">
        <v>0</v>
      </c>
      <c r="V62" s="204">
        <v>0</v>
      </c>
      <c r="W62" s="204">
        <v>0</v>
      </c>
      <c r="X62" s="204">
        <v>0</v>
      </c>
      <c r="Y62" s="204">
        <v>0</v>
      </c>
      <c r="Z62" s="204">
        <v>0</v>
      </c>
      <c r="AA62" s="204">
        <v>0</v>
      </c>
      <c r="AB62" s="204">
        <v>0</v>
      </c>
      <c r="AD62" s="143" t="str">
        <f t="shared" si="89"/>
        <v/>
      </c>
      <c r="AE62" s="4"/>
    </row>
    <row r="63" spans="1:33" ht="12" customHeight="1" thickBot="1">
      <c r="B63" s="857" t="s">
        <v>593</v>
      </c>
      <c r="C63" s="858">
        <f t="shared" ref="C63:V63" si="95">SUM(C57:C62)</f>
        <v>0</v>
      </c>
      <c r="D63" s="858">
        <f t="shared" si="95"/>
        <v>0</v>
      </c>
      <c r="E63" s="858">
        <f t="shared" si="95"/>
        <v>0</v>
      </c>
      <c r="F63" s="858">
        <f t="shared" si="95"/>
        <v>0</v>
      </c>
      <c r="G63" s="858">
        <f t="shared" si="95"/>
        <v>0</v>
      </c>
      <c r="H63" s="858">
        <f t="shared" si="95"/>
        <v>0</v>
      </c>
      <c r="I63" s="858">
        <f t="shared" si="95"/>
        <v>0</v>
      </c>
      <c r="J63" s="858">
        <f t="shared" si="95"/>
        <v>0</v>
      </c>
      <c r="K63" s="858">
        <f t="shared" si="95"/>
        <v>0</v>
      </c>
      <c r="L63" s="858">
        <f t="shared" si="95"/>
        <v>0</v>
      </c>
      <c r="M63" s="858">
        <f t="shared" si="95"/>
        <v>0</v>
      </c>
      <c r="N63" s="858">
        <f t="shared" si="95"/>
        <v>0</v>
      </c>
      <c r="O63" s="858">
        <f t="shared" si="95"/>
        <v>0</v>
      </c>
      <c r="P63" s="858">
        <f t="shared" si="95"/>
        <v>0</v>
      </c>
      <c r="Q63" s="858">
        <f t="shared" si="95"/>
        <v>0</v>
      </c>
      <c r="R63" s="858">
        <f t="shared" si="95"/>
        <v>0</v>
      </c>
      <c r="S63" s="858">
        <f t="shared" si="95"/>
        <v>0</v>
      </c>
      <c r="T63" s="858">
        <f t="shared" si="95"/>
        <v>0</v>
      </c>
      <c r="U63" s="858">
        <f t="shared" si="95"/>
        <v>0</v>
      </c>
      <c r="V63" s="858">
        <f t="shared" si="95"/>
        <v>0</v>
      </c>
      <c r="W63" s="858">
        <f t="shared" ref="W63:X63" si="96">SUM(W57:W62)</f>
        <v>0</v>
      </c>
      <c r="X63" s="858">
        <f t="shared" si="96"/>
        <v>0</v>
      </c>
      <c r="Y63" s="858">
        <f t="shared" ref="Y63:Z63" si="97">SUM(Y57:Y62)</f>
        <v>0</v>
      </c>
      <c r="Z63" s="858">
        <f t="shared" si="97"/>
        <v>0</v>
      </c>
      <c r="AA63" s="858">
        <f t="shared" ref="AA63:AB63" si="98">SUM(AA57:AA62)</f>
        <v>0</v>
      </c>
      <c r="AB63" s="858">
        <f t="shared" si="98"/>
        <v>0</v>
      </c>
      <c r="AD63" s="143" t="str">
        <f t="shared" si="89"/>
        <v/>
      </c>
    </row>
    <row r="64" spans="1:33" ht="12" customHeight="1" thickTop="1">
      <c r="B64" s="859" t="s">
        <v>594</v>
      </c>
      <c r="C64" s="860">
        <v>0</v>
      </c>
      <c r="D64" s="860">
        <v>0</v>
      </c>
      <c r="E64" s="860">
        <v>0</v>
      </c>
      <c r="F64" s="860">
        <v>0</v>
      </c>
      <c r="G64" s="860">
        <v>0</v>
      </c>
      <c r="H64" s="860">
        <v>0</v>
      </c>
      <c r="I64" s="860">
        <v>0</v>
      </c>
      <c r="J64" s="860">
        <v>0</v>
      </c>
      <c r="K64" s="860">
        <v>0</v>
      </c>
      <c r="L64" s="860">
        <v>0</v>
      </c>
      <c r="M64" s="860">
        <v>0</v>
      </c>
      <c r="N64" s="860">
        <v>0</v>
      </c>
      <c r="O64" s="860">
        <v>0</v>
      </c>
      <c r="P64" s="860">
        <v>0</v>
      </c>
      <c r="Q64" s="860">
        <v>0</v>
      </c>
      <c r="R64" s="860">
        <v>0</v>
      </c>
      <c r="S64" s="861">
        <f t="shared" ref="S64:Z64" si="99">ROUND(R64*(1+$AE64),0)</f>
        <v>0</v>
      </c>
      <c r="T64" s="861">
        <f t="shared" si="99"/>
        <v>0</v>
      </c>
      <c r="U64" s="861">
        <f t="shared" si="99"/>
        <v>0</v>
      </c>
      <c r="V64" s="861">
        <f t="shared" si="99"/>
        <v>0</v>
      </c>
      <c r="W64" s="861">
        <f t="shared" si="99"/>
        <v>0</v>
      </c>
      <c r="X64" s="861">
        <f t="shared" si="99"/>
        <v>0</v>
      </c>
      <c r="Y64" s="861">
        <f t="shared" si="99"/>
        <v>0</v>
      </c>
      <c r="Z64" s="861">
        <f t="shared" si="99"/>
        <v>0</v>
      </c>
      <c r="AA64" s="861">
        <f t="shared" ref="AA64:AB64" si="100">ROUND(Z64*(1+$AE64),0)</f>
        <v>0</v>
      </c>
      <c r="AB64" s="861">
        <f t="shared" si="100"/>
        <v>0</v>
      </c>
      <c r="AD64" s="8" t="str">
        <f t="shared" si="89"/>
        <v/>
      </c>
      <c r="AE64" s="163">
        <v>0</v>
      </c>
    </row>
    <row r="65" spans="1:33" ht="12" customHeight="1">
      <c r="C65" s="864"/>
      <c r="D65" s="864"/>
      <c r="E65" s="864"/>
      <c r="F65" s="864"/>
      <c r="G65" s="864"/>
      <c r="H65" s="864"/>
      <c r="I65" s="864"/>
      <c r="J65" s="864"/>
      <c r="K65" s="864"/>
      <c r="L65" s="864"/>
      <c r="M65" s="864"/>
      <c r="N65" s="864"/>
      <c r="O65" s="864"/>
      <c r="P65" s="864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26"/>
      <c r="AB65" s="726"/>
      <c r="AC65" s="549"/>
      <c r="AD65" s="8"/>
      <c r="AE65" s="865"/>
      <c r="AF65" s="4"/>
    </row>
    <row r="66" spans="1:33" ht="12" customHeight="1" thickBot="1">
      <c r="B66" s="833" t="s">
        <v>133</v>
      </c>
      <c r="C66" s="834">
        <f t="shared" ref="C66:O66" si="101">C49-C63-C64</f>
        <v>0</v>
      </c>
      <c r="D66" s="834">
        <f t="shared" si="101"/>
        <v>0</v>
      </c>
      <c r="E66" s="834">
        <f t="shared" si="101"/>
        <v>0</v>
      </c>
      <c r="F66" s="834">
        <f t="shared" si="101"/>
        <v>0</v>
      </c>
      <c r="G66" s="834">
        <f t="shared" si="101"/>
        <v>0</v>
      </c>
      <c r="H66" s="834">
        <f t="shared" si="101"/>
        <v>0</v>
      </c>
      <c r="I66" s="834">
        <f t="shared" si="101"/>
        <v>0</v>
      </c>
      <c r="J66" s="834">
        <f t="shared" si="101"/>
        <v>0</v>
      </c>
      <c r="K66" s="834">
        <f t="shared" si="101"/>
        <v>0</v>
      </c>
      <c r="L66" s="834">
        <f t="shared" si="101"/>
        <v>0</v>
      </c>
      <c r="M66" s="834">
        <f t="shared" si="101"/>
        <v>0</v>
      </c>
      <c r="N66" s="834">
        <f t="shared" si="101"/>
        <v>0</v>
      </c>
      <c r="O66" s="834">
        <f t="shared" si="101"/>
        <v>0</v>
      </c>
      <c r="P66" s="834">
        <f>P49-P63-P64</f>
        <v>0</v>
      </c>
      <c r="Q66" s="834">
        <f t="shared" ref="Q66:V66" si="102">Q49-Q63-Q64</f>
        <v>0</v>
      </c>
      <c r="R66" s="834">
        <f t="shared" si="102"/>
        <v>0</v>
      </c>
      <c r="S66" s="834">
        <f t="shared" si="102"/>
        <v>0</v>
      </c>
      <c r="T66" s="834">
        <f t="shared" si="102"/>
        <v>0</v>
      </c>
      <c r="U66" s="834">
        <f t="shared" si="102"/>
        <v>0</v>
      </c>
      <c r="V66" s="834">
        <f t="shared" si="102"/>
        <v>0</v>
      </c>
      <c r="W66" s="834">
        <f t="shared" ref="W66:X66" si="103">W49-W63-W64</f>
        <v>0</v>
      </c>
      <c r="X66" s="834">
        <f t="shared" si="103"/>
        <v>0</v>
      </c>
      <c r="Y66" s="834">
        <f t="shared" ref="Y66:Z66" si="104">Y49-Y63-Y64</f>
        <v>0</v>
      </c>
      <c r="Z66" s="834">
        <f t="shared" si="104"/>
        <v>0</v>
      </c>
      <c r="AA66" s="834">
        <f t="shared" ref="AA66:AB66" si="105">AA49-AA63-AA64</f>
        <v>0</v>
      </c>
      <c r="AB66" s="834">
        <f t="shared" si="105"/>
        <v>0</v>
      </c>
    </row>
    <row r="67" spans="1:33" ht="12" customHeight="1" thickTop="1"/>
    <row r="68" spans="1:33" ht="12" customHeight="1">
      <c r="B68" s="108" t="s">
        <v>437</v>
      </c>
      <c r="C68" s="106">
        <v>2006</v>
      </c>
      <c r="D68" s="106">
        <v>2007</v>
      </c>
      <c r="E68" s="106">
        <v>2008</v>
      </c>
      <c r="F68" s="106">
        <v>2009</v>
      </c>
      <c r="G68" s="106">
        <v>2010</v>
      </c>
      <c r="H68" s="106">
        <v>2011</v>
      </c>
      <c r="I68" s="106">
        <v>2012</v>
      </c>
      <c r="J68" s="106">
        <v>2013</v>
      </c>
      <c r="K68" s="106">
        <v>2014</v>
      </c>
      <c r="L68" s="106">
        <v>2015</v>
      </c>
      <c r="M68" s="106">
        <v>2016</v>
      </c>
      <c r="N68" s="106">
        <v>2017</v>
      </c>
      <c r="O68" s="106">
        <v>2018</v>
      </c>
      <c r="P68" s="106">
        <v>2019</v>
      </c>
      <c r="Q68" s="106">
        <v>2020</v>
      </c>
      <c r="R68" s="106">
        <v>2021</v>
      </c>
      <c r="S68" s="106">
        <v>2022</v>
      </c>
      <c r="T68" s="106">
        <v>2023</v>
      </c>
      <c r="U68" s="106">
        <v>2024</v>
      </c>
      <c r="V68" s="106">
        <v>2025</v>
      </c>
      <c r="W68" s="106">
        <v>2026</v>
      </c>
      <c r="X68" s="106">
        <v>2027</v>
      </c>
      <c r="Y68" s="106">
        <v>2028</v>
      </c>
      <c r="Z68" s="106">
        <v>2029</v>
      </c>
      <c r="AA68" s="106">
        <v>2030</v>
      </c>
      <c r="AB68" s="106">
        <v>2031</v>
      </c>
    </row>
    <row r="69" spans="1:33" s="159" customFormat="1" ht="12" customHeight="1">
      <c r="A69" s="224"/>
      <c r="B69" s="158" t="s">
        <v>595</v>
      </c>
      <c r="C69" s="694">
        <v>38534</v>
      </c>
      <c r="D69" s="694">
        <v>38899</v>
      </c>
      <c r="E69" s="694">
        <v>39264</v>
      </c>
      <c r="F69" s="694">
        <v>39630</v>
      </c>
      <c r="G69" s="694">
        <v>39995</v>
      </c>
      <c r="H69" s="694">
        <v>40360</v>
      </c>
      <c r="I69" s="694">
        <v>40725</v>
      </c>
      <c r="J69" s="694">
        <v>41091</v>
      </c>
      <c r="K69" s="694">
        <v>41456</v>
      </c>
      <c r="L69" s="694">
        <v>41821</v>
      </c>
      <c r="M69" s="694">
        <v>42186</v>
      </c>
      <c r="N69" s="694" t="s">
        <v>439</v>
      </c>
      <c r="O69" s="694" t="s">
        <v>440</v>
      </c>
      <c r="P69" s="694" t="s">
        <v>441</v>
      </c>
      <c r="Q69" s="694" t="s">
        <v>442</v>
      </c>
      <c r="R69" s="694" t="s">
        <v>443</v>
      </c>
      <c r="S69" s="694" t="s">
        <v>444</v>
      </c>
      <c r="T69" s="694" t="s">
        <v>445</v>
      </c>
      <c r="U69" s="694" t="s">
        <v>446</v>
      </c>
      <c r="V69" s="693" t="s">
        <v>447</v>
      </c>
      <c r="W69" s="693" t="s">
        <v>448</v>
      </c>
      <c r="X69" s="693" t="s">
        <v>449</v>
      </c>
      <c r="Y69" s="693" t="s">
        <v>450</v>
      </c>
      <c r="Z69" s="693" t="s">
        <v>451</v>
      </c>
      <c r="AA69" s="693" t="s">
        <v>452</v>
      </c>
      <c r="AB69" s="693" t="s">
        <v>453</v>
      </c>
      <c r="AC69" s="144"/>
      <c r="AD69" s="143"/>
      <c r="AE69" s="143"/>
      <c r="AG69" s="224"/>
    </row>
    <row r="70" spans="1:33" s="160" customFormat="1" ht="12" customHeight="1">
      <c r="A70" s="225"/>
      <c r="B70" s="367" t="s">
        <v>596</v>
      </c>
      <c r="C70" s="204">
        <v>0</v>
      </c>
      <c r="D70" s="204">
        <v>0</v>
      </c>
      <c r="E70" s="204">
        <v>0</v>
      </c>
      <c r="F70" s="204">
        <v>0</v>
      </c>
      <c r="G70" s="204">
        <v>0</v>
      </c>
      <c r="H70" s="204">
        <v>0</v>
      </c>
      <c r="I70" s="204">
        <v>0</v>
      </c>
      <c r="J70" s="204">
        <v>0</v>
      </c>
      <c r="K70" s="204">
        <v>0</v>
      </c>
      <c r="L70" s="204">
        <v>0</v>
      </c>
      <c r="M70" s="204">
        <v>0</v>
      </c>
      <c r="N70" s="204">
        <v>0</v>
      </c>
      <c r="O70" s="204">
        <v>0</v>
      </c>
      <c r="P70" s="204">
        <v>0</v>
      </c>
      <c r="Q70" s="204">
        <v>0</v>
      </c>
      <c r="R70" s="204">
        <v>0</v>
      </c>
      <c r="S70" s="204">
        <v>0</v>
      </c>
      <c r="T70" s="204">
        <v>0</v>
      </c>
      <c r="U70" s="204">
        <v>0</v>
      </c>
      <c r="V70" s="204">
        <v>0</v>
      </c>
      <c r="W70" s="204">
        <v>0</v>
      </c>
      <c r="X70" s="204">
        <v>0</v>
      </c>
      <c r="Y70" s="204">
        <v>0</v>
      </c>
      <c r="Z70" s="204">
        <v>0</v>
      </c>
      <c r="AA70" s="204">
        <v>0</v>
      </c>
      <c r="AB70" s="204">
        <v>0</v>
      </c>
      <c r="AC70" s="13"/>
      <c r="AD70" s="143"/>
      <c r="AE70" s="143"/>
      <c r="AG70" s="884"/>
    </row>
    <row r="71" spans="1:33" s="160" customFormat="1" ht="12" customHeight="1">
      <c r="A71" s="225"/>
      <c r="B71" s="804" t="s">
        <v>597</v>
      </c>
      <c r="C71" s="939" t="str">
        <f>IFERROR(C70/C45,"")</f>
        <v/>
      </c>
      <c r="D71" s="939" t="str">
        <f t="shared" ref="D71:W71" si="106">IFERROR(D70/D45,"")</f>
        <v/>
      </c>
      <c r="E71" s="939" t="str">
        <f t="shared" si="106"/>
        <v/>
      </c>
      <c r="F71" s="939" t="str">
        <f t="shared" si="106"/>
        <v/>
      </c>
      <c r="G71" s="939" t="str">
        <f t="shared" si="106"/>
        <v/>
      </c>
      <c r="H71" s="939" t="str">
        <f t="shared" si="106"/>
        <v/>
      </c>
      <c r="I71" s="939" t="str">
        <f t="shared" si="106"/>
        <v/>
      </c>
      <c r="J71" s="939" t="str">
        <f t="shared" si="106"/>
        <v/>
      </c>
      <c r="K71" s="939" t="str">
        <f t="shared" si="106"/>
        <v/>
      </c>
      <c r="L71" s="939" t="str">
        <f t="shared" si="106"/>
        <v/>
      </c>
      <c r="M71" s="939" t="str">
        <f t="shared" si="106"/>
        <v/>
      </c>
      <c r="N71" s="939" t="str">
        <f t="shared" si="106"/>
        <v/>
      </c>
      <c r="O71" s="939" t="str">
        <f t="shared" si="106"/>
        <v/>
      </c>
      <c r="P71" s="939" t="str">
        <f t="shared" si="106"/>
        <v/>
      </c>
      <c r="Q71" s="939" t="str">
        <f t="shared" si="106"/>
        <v/>
      </c>
      <c r="R71" s="939" t="str">
        <f t="shared" si="106"/>
        <v/>
      </c>
      <c r="S71" s="939" t="str">
        <f t="shared" si="106"/>
        <v/>
      </c>
      <c r="T71" s="939" t="str">
        <f t="shared" si="106"/>
        <v/>
      </c>
      <c r="U71" s="939" t="str">
        <f t="shared" si="106"/>
        <v/>
      </c>
      <c r="V71" s="939" t="str">
        <f t="shared" si="106"/>
        <v/>
      </c>
      <c r="W71" s="939" t="str">
        <f t="shared" si="106"/>
        <v/>
      </c>
      <c r="X71" s="939" t="str">
        <f t="shared" ref="X71:Y71" si="107">IFERROR(X70/X45,"")</f>
        <v/>
      </c>
      <c r="Y71" s="939" t="str">
        <f t="shared" si="107"/>
        <v/>
      </c>
      <c r="Z71" s="939" t="str">
        <f t="shared" ref="Z71:AB71" si="108">IFERROR(Z70/Z45,"")</f>
        <v/>
      </c>
      <c r="AA71" s="939" t="str">
        <f t="shared" si="108"/>
        <v/>
      </c>
      <c r="AB71" s="939" t="str">
        <f t="shared" si="108"/>
        <v/>
      </c>
      <c r="AC71" s="13"/>
      <c r="AD71" s="143"/>
      <c r="AE71" s="143"/>
      <c r="AG71" s="884" t="s">
        <v>598</v>
      </c>
    </row>
    <row r="72" spans="1:33" s="160" customFormat="1" ht="12" customHeight="1" thickBot="1">
      <c r="A72" s="702"/>
      <c r="B72" s="702"/>
      <c r="C72" s="702"/>
      <c r="D72" s="702"/>
      <c r="E72" s="702"/>
      <c r="F72" s="702"/>
      <c r="G72" s="703"/>
      <c r="H72" s="703"/>
      <c r="I72" s="703"/>
      <c r="J72" s="703"/>
      <c r="K72" s="703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3"/>
      <c r="X72" s="703"/>
      <c r="Y72" s="703"/>
      <c r="Z72" s="703"/>
      <c r="AA72" s="703"/>
      <c r="AB72" s="703"/>
      <c r="AC72" s="703"/>
      <c r="AD72" s="703"/>
      <c r="AE72" s="703"/>
      <c r="AF72" s="884"/>
      <c r="AG72" s="225"/>
    </row>
    <row r="73" spans="1:33" ht="12" customHeight="1"/>
    <row r="74" spans="1:33" ht="12" customHeight="1">
      <c r="C74" s="144" t="s">
        <v>82</v>
      </c>
      <c r="D74" s="144" t="s">
        <v>83</v>
      </c>
      <c r="E74" s="144" t="s">
        <v>84</v>
      </c>
      <c r="F74" s="144" t="s">
        <v>85</v>
      </c>
      <c r="G74" s="144" t="s">
        <v>86</v>
      </c>
      <c r="H74" s="144" t="s">
        <v>87</v>
      </c>
      <c r="I74" s="144" t="s">
        <v>88</v>
      </c>
      <c r="J74" s="144" t="s">
        <v>89</v>
      </c>
      <c r="K74" s="144" t="s">
        <v>90</v>
      </c>
      <c r="L74" s="144" t="s">
        <v>91</v>
      </c>
      <c r="M74" s="144" t="s">
        <v>92</v>
      </c>
      <c r="N74" s="144" t="s">
        <v>93</v>
      </c>
      <c r="O74" s="144" t="s">
        <v>94</v>
      </c>
      <c r="P74" s="144" t="s">
        <v>95</v>
      </c>
      <c r="Q74" s="144" t="s">
        <v>96</v>
      </c>
      <c r="R74" s="144" t="s">
        <v>97</v>
      </c>
      <c r="S74" s="144" t="s">
        <v>98</v>
      </c>
      <c r="T74" s="144" t="s">
        <v>99</v>
      </c>
      <c r="U74" s="144" t="s">
        <v>100</v>
      </c>
      <c r="V74" s="144" t="s">
        <v>101</v>
      </c>
      <c r="W74" s="144" t="s">
        <v>102</v>
      </c>
      <c r="X74" s="144" t="s">
        <v>103</v>
      </c>
      <c r="Y74" s="144" t="s">
        <v>104</v>
      </c>
      <c r="Z74" s="144" t="s">
        <v>105</v>
      </c>
      <c r="AA74" s="144" t="s">
        <v>106</v>
      </c>
      <c r="AB74" s="144" t="s">
        <v>107</v>
      </c>
      <c r="AD74" s="111" t="s">
        <v>212</v>
      </c>
      <c r="AE74" s="260" t="s">
        <v>157</v>
      </c>
    </row>
    <row r="75" spans="1:33" ht="12" customHeight="1">
      <c r="C75" s="144" t="s">
        <v>158</v>
      </c>
      <c r="D75" s="144" t="s">
        <v>158</v>
      </c>
      <c r="E75" s="144" t="s">
        <v>158</v>
      </c>
      <c r="F75" s="144" t="s">
        <v>158</v>
      </c>
      <c r="G75" s="144" t="s">
        <v>158</v>
      </c>
      <c r="H75" s="144" t="s">
        <v>158</v>
      </c>
      <c r="I75" s="144" t="s">
        <v>158</v>
      </c>
      <c r="J75" s="144" t="s">
        <v>158</v>
      </c>
      <c r="K75" s="144" t="s">
        <v>158</v>
      </c>
      <c r="L75" s="144" t="s">
        <v>158</v>
      </c>
      <c r="M75" s="144" t="s">
        <v>158</v>
      </c>
      <c r="N75" s="144" t="s">
        <v>158</v>
      </c>
      <c r="O75" s="144" t="s">
        <v>158</v>
      </c>
      <c r="P75" s="144" t="s">
        <v>158</v>
      </c>
      <c r="Q75" s="144" t="s">
        <v>158</v>
      </c>
      <c r="R75" s="144" t="s">
        <v>158</v>
      </c>
      <c r="S75" s="144" t="s">
        <v>159</v>
      </c>
      <c r="T75" s="144" t="s">
        <v>159</v>
      </c>
      <c r="U75" s="144" t="s">
        <v>159</v>
      </c>
      <c r="V75" s="144" t="s">
        <v>159</v>
      </c>
      <c r="W75" s="144" t="s">
        <v>159</v>
      </c>
      <c r="X75" s="144" t="s">
        <v>159</v>
      </c>
      <c r="Y75" s="144" t="s">
        <v>159</v>
      </c>
      <c r="Z75" s="144" t="s">
        <v>159</v>
      </c>
      <c r="AA75" s="144" t="s">
        <v>159</v>
      </c>
      <c r="AB75" s="144" t="s">
        <v>159</v>
      </c>
      <c r="AC75" s="144"/>
      <c r="AD75" s="111" t="s">
        <v>213</v>
      </c>
      <c r="AE75" s="260" t="s">
        <v>160</v>
      </c>
    </row>
    <row r="76" spans="1:33" ht="12" customHeight="1">
      <c r="B76" s="11" t="s">
        <v>572</v>
      </c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11"/>
      <c r="AE76" s="260"/>
      <c r="AG76" s="221" t="s">
        <v>573</v>
      </c>
    </row>
    <row r="77" spans="1:33" s="148" customFormat="1" ht="12" customHeight="1">
      <c r="A77" s="223" t="s">
        <v>142</v>
      </c>
      <c r="B77" s="145" t="s">
        <v>574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7"/>
      <c r="AD77" s="142"/>
      <c r="AE77" s="142"/>
      <c r="AG77" s="674"/>
    </row>
    <row r="78" spans="1:33" ht="12" customHeight="1">
      <c r="B78" s="149" t="s">
        <v>575</v>
      </c>
      <c r="C78" s="204">
        <v>0</v>
      </c>
      <c r="D78" s="204">
        <v>0</v>
      </c>
      <c r="E78" s="204">
        <v>0</v>
      </c>
      <c r="F78" s="204">
        <v>0</v>
      </c>
      <c r="G78" s="204">
        <v>0</v>
      </c>
      <c r="H78" s="204">
        <v>0</v>
      </c>
      <c r="I78" s="204">
        <v>0</v>
      </c>
      <c r="J78" s="204">
        <v>0</v>
      </c>
      <c r="K78" s="204">
        <v>0</v>
      </c>
      <c r="L78" s="204">
        <v>0</v>
      </c>
      <c r="M78" s="204">
        <v>0</v>
      </c>
      <c r="N78" s="204">
        <v>0</v>
      </c>
      <c r="O78" s="204">
        <v>0</v>
      </c>
      <c r="P78" s="204">
        <v>0</v>
      </c>
      <c r="Q78" s="204">
        <v>0</v>
      </c>
      <c r="R78" s="204">
        <v>0</v>
      </c>
      <c r="S78" s="204">
        <f>S98+S99-S79</f>
        <v>0</v>
      </c>
      <c r="T78" s="204">
        <f>T98+T99-T79</f>
        <v>0</v>
      </c>
      <c r="U78" s="204">
        <f>U98+U99-U79</f>
        <v>0</v>
      </c>
      <c r="V78" s="204">
        <f>V98+V99-V79</f>
        <v>0</v>
      </c>
      <c r="W78" s="204">
        <v>0</v>
      </c>
      <c r="X78" s="204">
        <v>0</v>
      </c>
      <c r="Y78" s="204">
        <v>0</v>
      </c>
      <c r="Z78" s="204">
        <v>0</v>
      </c>
      <c r="AA78" s="204">
        <v>0</v>
      </c>
      <c r="AB78" s="204">
        <v>0</v>
      </c>
      <c r="AD78" s="8" t="str">
        <f t="shared" ref="AD78:AD88" si="109">IFERROR(AVERAGE((M78-L78)/L78,(N78-M78)/M78,(O78-N78)/N78,(P78-O78)/O78,(Q78-P78)/P78),"")</f>
        <v/>
      </c>
      <c r="AG78" s="221" t="s">
        <v>576</v>
      </c>
    </row>
    <row r="79" spans="1:33" ht="12" customHeight="1">
      <c r="B79" s="149" t="s">
        <v>577</v>
      </c>
      <c r="C79" s="204">
        <v>0</v>
      </c>
      <c r="D79" s="204">
        <v>0</v>
      </c>
      <c r="E79" s="204">
        <v>0</v>
      </c>
      <c r="F79" s="204">
        <v>0</v>
      </c>
      <c r="G79" s="204">
        <v>0</v>
      </c>
      <c r="H79" s="204">
        <v>0</v>
      </c>
      <c r="I79" s="204">
        <v>0</v>
      </c>
      <c r="J79" s="204">
        <v>0</v>
      </c>
      <c r="K79" s="204">
        <v>0</v>
      </c>
      <c r="L79" s="204">
        <v>0</v>
      </c>
      <c r="M79" s="204">
        <v>0</v>
      </c>
      <c r="N79" s="204">
        <v>0</v>
      </c>
      <c r="O79" s="204">
        <v>0</v>
      </c>
      <c r="P79" s="204">
        <v>0</v>
      </c>
      <c r="Q79" s="204">
        <v>0</v>
      </c>
      <c r="R79" s="204">
        <v>0</v>
      </c>
      <c r="S79" s="204">
        <v>0</v>
      </c>
      <c r="T79" s="204">
        <v>0</v>
      </c>
      <c r="U79" s="204">
        <v>0</v>
      </c>
      <c r="V79" s="204">
        <v>0</v>
      </c>
      <c r="W79" s="204">
        <v>0</v>
      </c>
      <c r="X79" s="204">
        <v>0</v>
      </c>
      <c r="Y79" s="204">
        <v>0</v>
      </c>
      <c r="Z79" s="204">
        <v>0</v>
      </c>
      <c r="AA79" s="204">
        <v>0</v>
      </c>
      <c r="AB79" s="204">
        <v>0</v>
      </c>
      <c r="AD79" s="150" t="str">
        <f t="shared" si="109"/>
        <v/>
      </c>
      <c r="AG79" s="221" t="s">
        <v>578</v>
      </c>
    </row>
    <row r="80" spans="1:33" ht="12" customHeight="1">
      <c r="B80" s="219" t="s">
        <v>579</v>
      </c>
      <c r="C80" s="485">
        <f t="shared" ref="C80:V80" si="110">SUM(C78:C79)</f>
        <v>0</v>
      </c>
      <c r="D80" s="485">
        <f t="shared" si="110"/>
        <v>0</v>
      </c>
      <c r="E80" s="485">
        <f t="shared" si="110"/>
        <v>0</v>
      </c>
      <c r="F80" s="485">
        <f t="shared" si="110"/>
        <v>0</v>
      </c>
      <c r="G80" s="485">
        <f t="shared" si="110"/>
        <v>0</v>
      </c>
      <c r="H80" s="485">
        <f t="shared" si="110"/>
        <v>0</v>
      </c>
      <c r="I80" s="485">
        <f t="shared" si="110"/>
        <v>0</v>
      </c>
      <c r="J80" s="485">
        <f t="shared" si="110"/>
        <v>0</v>
      </c>
      <c r="K80" s="485">
        <f t="shared" si="110"/>
        <v>0</v>
      </c>
      <c r="L80" s="485">
        <f t="shared" si="110"/>
        <v>0</v>
      </c>
      <c r="M80" s="485">
        <f t="shared" si="110"/>
        <v>0</v>
      </c>
      <c r="N80" s="485">
        <f t="shared" si="110"/>
        <v>0</v>
      </c>
      <c r="O80" s="485">
        <f t="shared" si="110"/>
        <v>0</v>
      </c>
      <c r="P80" s="485">
        <f t="shared" si="110"/>
        <v>0</v>
      </c>
      <c r="Q80" s="485">
        <f t="shared" si="110"/>
        <v>0</v>
      </c>
      <c r="R80" s="485">
        <f t="shared" si="110"/>
        <v>0</v>
      </c>
      <c r="S80" s="485">
        <f t="shared" si="110"/>
        <v>0</v>
      </c>
      <c r="T80" s="485">
        <f t="shared" si="110"/>
        <v>0</v>
      </c>
      <c r="U80" s="485">
        <f t="shared" si="110"/>
        <v>0</v>
      </c>
      <c r="V80" s="485">
        <f t="shared" si="110"/>
        <v>0</v>
      </c>
      <c r="W80" s="485">
        <f t="shared" ref="W80:X80" si="111">SUM(W78:W79)</f>
        <v>0</v>
      </c>
      <c r="X80" s="485">
        <f t="shared" si="111"/>
        <v>0</v>
      </c>
      <c r="Y80" s="485">
        <f t="shared" ref="Y80:Z80" si="112">SUM(Y78:Y79)</f>
        <v>0</v>
      </c>
      <c r="Z80" s="485">
        <f t="shared" si="112"/>
        <v>0</v>
      </c>
      <c r="AA80" s="204">
        <v>0</v>
      </c>
      <c r="AB80" s="204">
        <v>0</v>
      </c>
      <c r="AD80" s="8" t="str">
        <f t="shared" si="109"/>
        <v/>
      </c>
    </row>
    <row r="81" spans="1:33" ht="12" customHeight="1">
      <c r="B81" s="149" t="s">
        <v>580</v>
      </c>
      <c r="C81" s="204">
        <v>0</v>
      </c>
      <c r="D81" s="204">
        <v>0</v>
      </c>
      <c r="E81" s="204">
        <v>0</v>
      </c>
      <c r="F81" s="204">
        <v>0</v>
      </c>
      <c r="G81" s="204">
        <v>0</v>
      </c>
      <c r="H81" s="204">
        <v>0</v>
      </c>
      <c r="I81" s="204">
        <v>0</v>
      </c>
      <c r="J81" s="204">
        <v>0</v>
      </c>
      <c r="K81" s="204">
        <v>0</v>
      </c>
      <c r="L81" s="204">
        <v>0</v>
      </c>
      <c r="M81" s="204">
        <v>0</v>
      </c>
      <c r="N81" s="204">
        <v>0</v>
      </c>
      <c r="O81" s="204">
        <v>0</v>
      </c>
      <c r="P81" s="204">
        <v>0</v>
      </c>
      <c r="Q81" s="204">
        <v>0</v>
      </c>
      <c r="R81" s="204">
        <v>0</v>
      </c>
      <c r="S81" s="204">
        <v>0</v>
      </c>
      <c r="T81" s="204">
        <v>0</v>
      </c>
      <c r="U81" s="204">
        <v>0</v>
      </c>
      <c r="V81" s="204">
        <v>0</v>
      </c>
      <c r="W81" s="204">
        <v>0</v>
      </c>
      <c r="X81" s="204">
        <v>0</v>
      </c>
      <c r="Y81" s="204">
        <v>0</v>
      </c>
      <c r="Z81" s="204">
        <v>0</v>
      </c>
      <c r="AA81" s="204">
        <v>0</v>
      </c>
      <c r="AB81" s="204">
        <v>0</v>
      </c>
      <c r="AD81" s="150" t="str">
        <f t="shared" si="109"/>
        <v/>
      </c>
    </row>
    <row r="82" spans="1:33" ht="12" customHeight="1">
      <c r="B82" s="149" t="s">
        <v>581</v>
      </c>
      <c r="C82" s="204">
        <v>0</v>
      </c>
      <c r="D82" s="204">
        <v>0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204">
        <v>0</v>
      </c>
      <c r="N82" s="204">
        <v>0</v>
      </c>
      <c r="O82" s="204">
        <v>0</v>
      </c>
      <c r="P82" s="204">
        <v>0</v>
      </c>
      <c r="Q82" s="204">
        <v>0</v>
      </c>
      <c r="R82" s="204">
        <v>0</v>
      </c>
      <c r="S82" s="204">
        <v>0</v>
      </c>
      <c r="T82" s="204">
        <v>0</v>
      </c>
      <c r="U82" s="204">
        <v>0</v>
      </c>
      <c r="V82" s="204">
        <v>0</v>
      </c>
      <c r="W82" s="204">
        <v>0</v>
      </c>
      <c r="X82" s="204">
        <v>0</v>
      </c>
      <c r="Y82" s="204">
        <v>0</v>
      </c>
      <c r="Z82" s="204">
        <v>0</v>
      </c>
      <c r="AA82" s="204">
        <v>0</v>
      </c>
      <c r="AB82" s="204">
        <v>0</v>
      </c>
      <c r="AD82" s="150" t="str">
        <f t="shared" si="109"/>
        <v/>
      </c>
    </row>
    <row r="83" spans="1:33" ht="12" customHeight="1">
      <c r="B83" s="149" t="s">
        <v>582</v>
      </c>
      <c r="C83" s="204">
        <v>0</v>
      </c>
      <c r="D83" s="204">
        <v>0</v>
      </c>
      <c r="E83" s="204">
        <v>0</v>
      </c>
      <c r="F83" s="204">
        <v>0</v>
      </c>
      <c r="G83" s="204">
        <v>0</v>
      </c>
      <c r="H83" s="204">
        <v>0</v>
      </c>
      <c r="I83" s="204">
        <v>0</v>
      </c>
      <c r="J83" s="204">
        <v>0</v>
      </c>
      <c r="K83" s="204">
        <v>0</v>
      </c>
      <c r="L83" s="204">
        <v>0</v>
      </c>
      <c r="M83" s="204">
        <v>0</v>
      </c>
      <c r="N83" s="204">
        <v>0</v>
      </c>
      <c r="O83" s="204">
        <v>0</v>
      </c>
      <c r="P83" s="204">
        <v>0</v>
      </c>
      <c r="Q83" s="204">
        <v>0</v>
      </c>
      <c r="R83" s="204">
        <v>0</v>
      </c>
      <c r="S83" s="204">
        <v>0</v>
      </c>
      <c r="T83" s="204">
        <v>0</v>
      </c>
      <c r="U83" s="204">
        <v>0</v>
      </c>
      <c r="V83" s="204">
        <v>0</v>
      </c>
      <c r="W83" s="204">
        <v>0</v>
      </c>
      <c r="X83" s="204">
        <v>0</v>
      </c>
      <c r="Y83" s="204">
        <v>0</v>
      </c>
      <c r="Z83" s="204">
        <v>0</v>
      </c>
      <c r="AA83" s="204">
        <v>0</v>
      </c>
      <c r="AB83" s="204">
        <v>0</v>
      </c>
      <c r="AD83" s="143" t="str">
        <f t="shared" si="109"/>
        <v/>
      </c>
    </row>
    <row r="84" spans="1:33" ht="12" customHeight="1">
      <c r="B84" s="151" t="s">
        <v>583</v>
      </c>
      <c r="C84" s="486">
        <f t="shared" ref="C84:N84" si="113">SUM(C80:C83)</f>
        <v>0</v>
      </c>
      <c r="D84" s="486">
        <f t="shared" si="113"/>
        <v>0</v>
      </c>
      <c r="E84" s="486">
        <f t="shared" si="113"/>
        <v>0</v>
      </c>
      <c r="F84" s="486">
        <f t="shared" si="113"/>
        <v>0</v>
      </c>
      <c r="G84" s="486">
        <f t="shared" si="113"/>
        <v>0</v>
      </c>
      <c r="H84" s="486">
        <f t="shared" si="113"/>
        <v>0</v>
      </c>
      <c r="I84" s="486">
        <f t="shared" si="113"/>
        <v>0</v>
      </c>
      <c r="J84" s="486">
        <f t="shared" si="113"/>
        <v>0</v>
      </c>
      <c r="K84" s="486">
        <f t="shared" si="113"/>
        <v>0</v>
      </c>
      <c r="L84" s="486">
        <f t="shared" si="113"/>
        <v>0</v>
      </c>
      <c r="M84" s="486">
        <f t="shared" si="113"/>
        <v>0</v>
      </c>
      <c r="N84" s="486">
        <f t="shared" si="113"/>
        <v>0</v>
      </c>
      <c r="O84" s="486">
        <f>SUM(O80:O83)</f>
        <v>0</v>
      </c>
      <c r="P84" s="486">
        <f>SUM(P80:P83)</f>
        <v>0</v>
      </c>
      <c r="Q84" s="486">
        <f t="shared" ref="Q84:W84" si="114">SUM(Q80:Q83)</f>
        <v>0</v>
      </c>
      <c r="R84" s="486">
        <f t="shared" si="114"/>
        <v>0</v>
      </c>
      <c r="S84" s="486">
        <f t="shared" si="114"/>
        <v>0</v>
      </c>
      <c r="T84" s="486">
        <f t="shared" si="114"/>
        <v>0</v>
      </c>
      <c r="U84" s="486">
        <f t="shared" si="114"/>
        <v>0</v>
      </c>
      <c r="V84" s="486">
        <f t="shared" si="114"/>
        <v>0</v>
      </c>
      <c r="W84" s="486">
        <f t="shared" si="114"/>
        <v>0</v>
      </c>
      <c r="X84" s="486">
        <f t="shared" ref="X84:Y84" si="115">SUM(X80:X83)</f>
        <v>0</v>
      </c>
      <c r="Y84" s="486">
        <f t="shared" si="115"/>
        <v>0</v>
      </c>
      <c r="Z84" s="486">
        <f t="shared" ref="Z84:AB84" si="116">SUM(Z80:Z83)</f>
        <v>0</v>
      </c>
      <c r="AA84" s="486">
        <f t="shared" si="116"/>
        <v>0</v>
      </c>
      <c r="AB84" s="486">
        <f t="shared" si="116"/>
        <v>0</v>
      </c>
      <c r="AD84" s="8" t="str">
        <f t="shared" si="109"/>
        <v/>
      </c>
    </row>
    <row r="85" spans="1:33" ht="12" customHeight="1">
      <c r="K85" s="4"/>
      <c r="P85" s="487"/>
      <c r="Q85" s="487"/>
      <c r="R85" s="487"/>
      <c r="S85" s="487"/>
      <c r="T85" s="487"/>
      <c r="U85" s="487"/>
      <c r="V85" s="487"/>
      <c r="W85" s="487"/>
      <c r="X85" s="487"/>
      <c r="Y85" s="487"/>
      <c r="Z85" s="487"/>
      <c r="AA85" s="487"/>
      <c r="AB85" s="487"/>
      <c r="AD85" s="142" t="str">
        <f t="shared" si="109"/>
        <v/>
      </c>
    </row>
    <row r="86" spans="1:33" s="153" customFormat="1" ht="12" customHeight="1">
      <c r="A86" s="223" t="s">
        <v>142</v>
      </c>
      <c r="B86" s="205" t="s">
        <v>584</v>
      </c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5"/>
      <c r="O86" s="155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8"/>
      <c r="AA86" s="488"/>
      <c r="AB86" s="488"/>
      <c r="AC86" s="156"/>
      <c r="AD86" s="157" t="str">
        <f t="shared" si="109"/>
        <v/>
      </c>
      <c r="AE86" s="152"/>
      <c r="AF86" s="881"/>
      <c r="AG86" s="881"/>
    </row>
    <row r="87" spans="1:33" ht="12" customHeight="1">
      <c r="B87" s="149" t="s">
        <v>585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  <c r="J87" s="204">
        <v>0</v>
      </c>
      <c r="K87" s="204">
        <v>0</v>
      </c>
      <c r="L87" s="204">
        <v>0</v>
      </c>
      <c r="M87" s="204">
        <v>0</v>
      </c>
      <c r="N87" s="204">
        <v>0</v>
      </c>
      <c r="O87" s="204">
        <v>0</v>
      </c>
      <c r="P87" s="204">
        <v>0</v>
      </c>
      <c r="Q87" s="204">
        <v>0</v>
      </c>
      <c r="R87" s="204">
        <v>0</v>
      </c>
      <c r="S87" s="204">
        <v>0</v>
      </c>
      <c r="T87" s="204">
        <v>0</v>
      </c>
      <c r="U87" s="204">
        <v>0</v>
      </c>
      <c r="V87" s="204">
        <v>0</v>
      </c>
      <c r="W87" s="204">
        <v>0</v>
      </c>
      <c r="X87" s="204">
        <v>0</v>
      </c>
      <c r="Y87" s="204">
        <v>0</v>
      </c>
      <c r="Z87" s="204">
        <v>0</v>
      </c>
      <c r="AA87" s="204">
        <v>1</v>
      </c>
      <c r="AB87" s="204">
        <v>2</v>
      </c>
      <c r="AD87" s="8" t="str">
        <f t="shared" si="109"/>
        <v/>
      </c>
    </row>
    <row r="88" spans="1:33" ht="12" customHeight="1" thickBot="1">
      <c r="B88" s="837" t="s">
        <v>586</v>
      </c>
      <c r="C88" s="838">
        <f t="shared" ref="C88" si="117">IF(C87&gt;0,C87-C80,0)</f>
        <v>0</v>
      </c>
      <c r="D88" s="838">
        <f t="shared" ref="D88" si="118">IF(D87&gt;0,D87-D80,0)</f>
        <v>0</v>
      </c>
      <c r="E88" s="838">
        <f t="shared" ref="E88" si="119">IF(E87&gt;0,E87-E80,0)</f>
        <v>0</v>
      </c>
      <c r="F88" s="838">
        <f t="shared" ref="F88" si="120">IF(F87&gt;0,F87-F80,0)</f>
        <v>0</v>
      </c>
      <c r="G88" s="838">
        <f t="shared" ref="G88" si="121">IF(G87&gt;0,G87-G80,0)</f>
        <v>0</v>
      </c>
      <c r="H88" s="838">
        <f t="shared" ref="H88" si="122">IF(H87&gt;0,H87-H80,0)</f>
        <v>0</v>
      </c>
      <c r="I88" s="838">
        <f t="shared" ref="I88" si="123">IF(I87&gt;0,I87-I80,0)</f>
        <v>0</v>
      </c>
      <c r="J88" s="838">
        <f t="shared" ref="J88" si="124">IF(J87&gt;0,J87-J80,0)</f>
        <v>0</v>
      </c>
      <c r="K88" s="838">
        <f t="shared" ref="K88" si="125">IF(K87&gt;0,K87-K80,0)</f>
        <v>0</v>
      </c>
      <c r="L88" s="838">
        <f t="shared" ref="L88" si="126">IF(L87&gt;0,L87-L80,0)</f>
        <v>0</v>
      </c>
      <c r="M88" s="838">
        <f t="shared" ref="M88" si="127">IF(M87&gt;0,M87-M80,0)</f>
        <v>0</v>
      </c>
      <c r="N88" s="838">
        <f t="shared" ref="N88" si="128">IF(N87&gt;0,N87-N80,0)</f>
        <v>0</v>
      </c>
      <c r="O88" s="838">
        <f t="shared" ref="O88" si="129">IF(O87&gt;0,O87-O80,0)</f>
        <v>0</v>
      </c>
      <c r="P88" s="838">
        <f t="shared" ref="P88" si="130">IF(P87&gt;0,P87-P80,0)</f>
        <v>0</v>
      </c>
      <c r="Q88" s="838">
        <f t="shared" ref="Q88" si="131">IF(Q87&gt;0,Q87-Q80,0)</f>
        <v>0</v>
      </c>
      <c r="R88" s="838">
        <f t="shared" ref="R88" si="132">IF(R87&gt;0,R87-R80,0)</f>
        <v>0</v>
      </c>
      <c r="S88" s="838">
        <f t="shared" ref="S88" si="133">IF(S87&gt;0,S87-S80,0)</f>
        <v>0</v>
      </c>
      <c r="T88" s="838">
        <f t="shared" ref="T88" si="134">IF(T87&gt;0,T87-T80,0)</f>
        <v>0</v>
      </c>
      <c r="U88" s="838">
        <f t="shared" ref="U88" si="135">IF(U87&gt;0,U87-U80,0)</f>
        <v>0</v>
      </c>
      <c r="V88" s="838">
        <f t="shared" ref="V88" si="136">IF(V87&gt;0,V87-V80,0)</f>
        <v>0</v>
      </c>
      <c r="W88" s="838">
        <f t="shared" ref="W88:X88" si="137">IF(W87&gt;0,W87-W80,0)</f>
        <v>0</v>
      </c>
      <c r="X88" s="838">
        <f t="shared" si="137"/>
        <v>0</v>
      </c>
      <c r="Y88" s="838">
        <f t="shared" ref="Y88:Z88" si="138">IF(Y87&gt;0,Y87-Y80,0)</f>
        <v>0</v>
      </c>
      <c r="Z88" s="838">
        <f t="shared" si="138"/>
        <v>0</v>
      </c>
      <c r="AA88" s="838">
        <f t="shared" ref="AA88:AB88" si="139">IF(AA87&gt;0,AA87-AA80,0)</f>
        <v>1</v>
      </c>
      <c r="AB88" s="838">
        <f t="shared" si="139"/>
        <v>2</v>
      </c>
      <c r="AD88" s="8" t="str">
        <f t="shared" si="109"/>
        <v/>
      </c>
    </row>
    <row r="89" spans="1:33" s="49" customFormat="1" ht="12" customHeight="1" thickTop="1">
      <c r="A89" s="206"/>
      <c r="B89" s="831" t="s">
        <v>390</v>
      </c>
      <c r="C89" s="832" t="str">
        <f t="shared" ref="C89:W89" si="140">IFERROR(C88/C80,"")</f>
        <v/>
      </c>
      <c r="D89" s="832" t="str">
        <f t="shared" si="140"/>
        <v/>
      </c>
      <c r="E89" s="832" t="str">
        <f t="shared" si="140"/>
        <v/>
      </c>
      <c r="F89" s="832" t="str">
        <f t="shared" si="140"/>
        <v/>
      </c>
      <c r="G89" s="832" t="str">
        <f t="shared" si="140"/>
        <v/>
      </c>
      <c r="H89" s="832" t="str">
        <f t="shared" si="140"/>
        <v/>
      </c>
      <c r="I89" s="832" t="str">
        <f t="shared" si="140"/>
        <v/>
      </c>
      <c r="J89" s="832" t="str">
        <f t="shared" si="140"/>
        <v/>
      </c>
      <c r="K89" s="832" t="str">
        <f t="shared" si="140"/>
        <v/>
      </c>
      <c r="L89" s="832" t="str">
        <f t="shared" si="140"/>
        <v/>
      </c>
      <c r="M89" s="832" t="str">
        <f t="shared" si="140"/>
        <v/>
      </c>
      <c r="N89" s="832" t="str">
        <f t="shared" si="140"/>
        <v/>
      </c>
      <c r="O89" s="832" t="str">
        <f t="shared" si="140"/>
        <v/>
      </c>
      <c r="P89" s="832" t="str">
        <f t="shared" si="140"/>
        <v/>
      </c>
      <c r="Q89" s="832" t="str">
        <f t="shared" si="140"/>
        <v/>
      </c>
      <c r="R89" s="832" t="str">
        <f t="shared" si="140"/>
        <v/>
      </c>
      <c r="S89" s="832" t="str">
        <f t="shared" si="140"/>
        <v/>
      </c>
      <c r="T89" s="832" t="str">
        <f t="shared" si="140"/>
        <v/>
      </c>
      <c r="U89" s="832" t="str">
        <f t="shared" si="140"/>
        <v/>
      </c>
      <c r="V89" s="832" t="str">
        <f t="shared" si="140"/>
        <v/>
      </c>
      <c r="W89" s="832" t="str">
        <f t="shared" si="140"/>
        <v/>
      </c>
      <c r="X89" s="832" t="str">
        <f t="shared" ref="X89:Y89" si="141">IFERROR(X88/X80,"")</f>
        <v/>
      </c>
      <c r="Y89" s="832" t="str">
        <f t="shared" si="141"/>
        <v/>
      </c>
      <c r="Z89" s="832" t="str">
        <f t="shared" ref="Z89:AB89" si="142">IFERROR(Z88/Z80,"")</f>
        <v/>
      </c>
      <c r="AA89" s="832" t="str">
        <f t="shared" si="142"/>
        <v/>
      </c>
      <c r="AB89" s="832" t="str">
        <f t="shared" si="142"/>
        <v/>
      </c>
      <c r="AC89" s="76"/>
      <c r="AF89" s="206"/>
      <c r="AG89" s="206"/>
    </row>
    <row r="90" spans="1:33" s="160" customFormat="1" ht="12" customHeight="1">
      <c r="A90" s="225"/>
      <c r="B90" s="161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487"/>
      <c r="Q90" s="487"/>
      <c r="R90" s="487"/>
      <c r="S90" s="487"/>
      <c r="T90" s="487"/>
      <c r="U90" s="487"/>
      <c r="V90" s="487"/>
      <c r="W90" s="487"/>
      <c r="X90" s="487"/>
      <c r="Y90" s="487"/>
      <c r="Z90" s="487"/>
      <c r="AA90" s="487"/>
      <c r="AB90" s="487"/>
      <c r="AC90" s="13"/>
      <c r="AD90" s="143" t="str">
        <f t="shared" ref="AD90:AD99" si="143">IFERROR(AVERAGE((M90-L90)/L90,(N90-M90)/M90,(O90-N90)/N90,(P90-O90)/O90,(Q90-P90)/P90),"")</f>
        <v/>
      </c>
      <c r="AE90" s="143"/>
      <c r="AF90" s="884"/>
      <c r="AG90" s="225"/>
    </row>
    <row r="91" spans="1:33" s="11" customFormat="1" ht="12" customHeight="1">
      <c r="A91" s="230" t="s">
        <v>217</v>
      </c>
      <c r="B91" s="145" t="s">
        <v>587</v>
      </c>
      <c r="C91" s="13"/>
      <c r="D91" s="13"/>
      <c r="E91" s="13"/>
      <c r="F91" s="13"/>
      <c r="G91" s="13"/>
      <c r="H91" s="13"/>
      <c r="I91" s="13"/>
      <c r="J91" s="13"/>
      <c r="K91" s="154"/>
      <c r="L91" s="154"/>
      <c r="M91" s="154"/>
      <c r="N91" s="144"/>
      <c r="O91" s="144"/>
      <c r="P91" s="489"/>
      <c r="Q91" s="489"/>
      <c r="R91" s="489"/>
      <c r="S91" s="489"/>
      <c r="T91" s="489"/>
      <c r="U91" s="489"/>
      <c r="V91" s="489"/>
      <c r="W91" s="489"/>
      <c r="X91" s="489"/>
      <c r="Y91" s="489"/>
      <c r="Z91" s="489"/>
      <c r="AA91" s="489"/>
      <c r="AB91" s="489"/>
      <c r="AC91" s="13"/>
      <c r="AD91" s="142" t="str">
        <f t="shared" si="143"/>
        <v/>
      </c>
      <c r="AE91" s="142"/>
      <c r="AF91" s="900"/>
      <c r="AG91" s="900"/>
    </row>
    <row r="92" spans="1:33" ht="12" customHeight="1">
      <c r="B92" s="37" t="s">
        <v>27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  <c r="J92" s="204">
        <v>0</v>
      </c>
      <c r="K92" s="204">
        <v>0</v>
      </c>
      <c r="L92" s="204">
        <v>0</v>
      </c>
      <c r="M92" s="204">
        <v>0</v>
      </c>
      <c r="N92" s="204">
        <v>0</v>
      </c>
      <c r="O92" s="204">
        <v>0</v>
      </c>
      <c r="P92" s="204">
        <v>0</v>
      </c>
      <c r="Q92" s="169">
        <f>+P92</f>
        <v>0</v>
      </c>
      <c r="R92" s="169">
        <v>0</v>
      </c>
      <c r="S92" s="169">
        <f t="shared" ref="S92" si="144">+R92</f>
        <v>0</v>
      </c>
      <c r="T92" s="169">
        <f t="shared" ref="T92" si="145">+S92</f>
        <v>0</v>
      </c>
      <c r="U92" s="169">
        <f t="shared" ref="U92" si="146">+T92</f>
        <v>0</v>
      </c>
      <c r="V92" s="169">
        <f t="shared" ref="V92" si="147">+U92</f>
        <v>0</v>
      </c>
      <c r="W92" s="169">
        <f t="shared" ref="W92:Z92" si="148">+V92</f>
        <v>0</v>
      </c>
      <c r="X92" s="169">
        <f t="shared" si="148"/>
        <v>0</v>
      </c>
      <c r="Y92" s="169">
        <f t="shared" si="148"/>
        <v>0</v>
      </c>
      <c r="Z92" s="169">
        <f t="shared" si="148"/>
        <v>0</v>
      </c>
      <c r="AA92" s="169">
        <f t="shared" ref="AA92" si="149">+Z92</f>
        <v>0</v>
      </c>
      <c r="AB92" s="169">
        <f t="shared" ref="AB92" si="150">+AA92</f>
        <v>0</v>
      </c>
      <c r="AD92" s="8" t="str">
        <f t="shared" si="143"/>
        <v/>
      </c>
      <c r="AE92" s="779" t="s">
        <v>474</v>
      </c>
    </row>
    <row r="93" spans="1:33" ht="12" customHeight="1">
      <c r="B93" s="37" t="s">
        <v>32</v>
      </c>
      <c r="C93" s="204">
        <v>0</v>
      </c>
      <c r="D93" s="204">
        <v>0</v>
      </c>
      <c r="E93" s="204">
        <v>0</v>
      </c>
      <c r="F93" s="204">
        <v>0</v>
      </c>
      <c r="G93" s="204">
        <v>0</v>
      </c>
      <c r="H93" s="204">
        <v>0</v>
      </c>
      <c r="I93" s="204">
        <v>0</v>
      </c>
      <c r="J93" s="204">
        <v>0</v>
      </c>
      <c r="K93" s="204">
        <v>0</v>
      </c>
      <c r="L93" s="204">
        <v>0</v>
      </c>
      <c r="M93" s="204">
        <v>0</v>
      </c>
      <c r="N93" s="204">
        <v>0</v>
      </c>
      <c r="O93" s="204">
        <v>0</v>
      </c>
      <c r="P93" s="204">
        <v>0</v>
      </c>
      <c r="Q93" s="204">
        <f>P93*(1+$AE$23)</f>
        <v>0</v>
      </c>
      <c r="R93" s="169">
        <v>0</v>
      </c>
      <c r="S93" s="169">
        <f t="shared" ref="S93:Z93" si="151">ROUND(R93*(1+$AE93),0)</f>
        <v>0</v>
      </c>
      <c r="T93" s="169">
        <f t="shared" si="151"/>
        <v>0</v>
      </c>
      <c r="U93" s="169">
        <f t="shared" si="151"/>
        <v>0</v>
      </c>
      <c r="V93" s="169">
        <f t="shared" si="151"/>
        <v>0</v>
      </c>
      <c r="W93" s="169">
        <f t="shared" si="151"/>
        <v>0</v>
      </c>
      <c r="X93" s="169">
        <f t="shared" si="151"/>
        <v>0</v>
      </c>
      <c r="Y93" s="169">
        <f t="shared" si="151"/>
        <v>0</v>
      </c>
      <c r="Z93" s="169">
        <f t="shared" si="151"/>
        <v>0</v>
      </c>
      <c r="AA93" s="169">
        <f t="shared" ref="AA93:AB93" si="152">ROUND(Z93*(1+$AE93),0)</f>
        <v>0</v>
      </c>
      <c r="AB93" s="169">
        <f t="shared" si="152"/>
        <v>0</v>
      </c>
      <c r="AD93" s="8" t="str">
        <f t="shared" si="143"/>
        <v/>
      </c>
      <c r="AE93" s="163">
        <v>0</v>
      </c>
    </row>
    <row r="94" spans="1:33" ht="12" customHeight="1">
      <c r="B94" s="37" t="s">
        <v>588</v>
      </c>
      <c r="C94" s="204">
        <v>0</v>
      </c>
      <c r="D94" s="204">
        <v>0</v>
      </c>
      <c r="E94" s="204">
        <v>0</v>
      </c>
      <c r="F94" s="204">
        <v>0</v>
      </c>
      <c r="G94" s="204">
        <v>0</v>
      </c>
      <c r="H94" s="204">
        <v>0</v>
      </c>
      <c r="I94" s="204">
        <v>0</v>
      </c>
      <c r="J94" s="204">
        <v>0</v>
      </c>
      <c r="K94" s="204">
        <v>0</v>
      </c>
      <c r="L94" s="204">
        <v>0</v>
      </c>
      <c r="M94" s="204">
        <v>0</v>
      </c>
      <c r="N94" s="204">
        <f>+Debt!N107+Debt!N114</f>
        <v>0</v>
      </c>
      <c r="O94" s="204">
        <f>+Debt!O107+Debt!O114</f>
        <v>0</v>
      </c>
      <c r="P94" s="204">
        <f>+Debt!P107+Debt!P114</f>
        <v>0</v>
      </c>
      <c r="Q94" s="204">
        <f>+Debt!Q107+Debt!Q114</f>
        <v>0</v>
      </c>
      <c r="R94" s="204">
        <f>+Debt!R107+Debt!R114</f>
        <v>0</v>
      </c>
      <c r="S94" s="204">
        <f>+Debt!S107+Debt!S114</f>
        <v>0</v>
      </c>
      <c r="T94" s="204">
        <f>+Debt!T107+Debt!T114</f>
        <v>0</v>
      </c>
      <c r="U94" s="204">
        <f>+Debt!U107+Debt!U114</f>
        <v>0</v>
      </c>
      <c r="V94" s="204">
        <f>+Debt!V107+Debt!V114</f>
        <v>0</v>
      </c>
      <c r="W94" s="204">
        <f>+Debt!W107+Debt!W114</f>
        <v>0</v>
      </c>
      <c r="X94" s="204">
        <f>+Debt!X107+Debt!X114</f>
        <v>0</v>
      </c>
      <c r="Y94" s="204">
        <f>+Debt!Y107+Debt!Y114</f>
        <v>0</v>
      </c>
      <c r="Z94" s="204">
        <f>+Debt!AA107+Debt!AA114</f>
        <v>0</v>
      </c>
      <c r="AA94" s="204">
        <f>+Debt!AB107+Debt!AB114</f>
        <v>0</v>
      </c>
      <c r="AB94" s="204">
        <f>+Debt!AC107+Debt!AC114</f>
        <v>0</v>
      </c>
      <c r="AD94" s="8" t="str">
        <f t="shared" si="143"/>
        <v/>
      </c>
      <c r="AE94" s="785" t="s">
        <v>262</v>
      </c>
      <c r="AG94" s="221" t="s">
        <v>589</v>
      </c>
    </row>
    <row r="95" spans="1:33" ht="12" customHeight="1">
      <c r="B95" s="756" t="s">
        <v>590</v>
      </c>
      <c r="C95" s="204">
        <v>0</v>
      </c>
      <c r="D95" s="204">
        <f>+CIP!D108</f>
        <v>0</v>
      </c>
      <c r="E95" s="204">
        <f>+CIP!E108</f>
        <v>0</v>
      </c>
      <c r="F95" s="204">
        <f>+CIP!F108</f>
        <v>0</v>
      </c>
      <c r="G95" s="204">
        <f>+CIP!G108</f>
        <v>0</v>
      </c>
      <c r="H95" s="204">
        <f>+CIP!H108</f>
        <v>0</v>
      </c>
      <c r="I95" s="204">
        <f>+CIP!I108</f>
        <v>0</v>
      </c>
      <c r="J95" s="204">
        <f>+CIP!J108</f>
        <v>0</v>
      </c>
      <c r="K95" s="204">
        <f>+CIP!K108</f>
        <v>0</v>
      </c>
      <c r="L95" s="204">
        <f>+CIP!L108</f>
        <v>0</v>
      </c>
      <c r="M95" s="204">
        <f>+CIP!M108</f>
        <v>0</v>
      </c>
      <c r="N95" s="204">
        <f>+CIP!N108</f>
        <v>0</v>
      </c>
      <c r="O95" s="204">
        <f>+CIP!O108</f>
        <v>0</v>
      </c>
      <c r="P95" s="204">
        <f>+CIP!P108</f>
        <v>0</v>
      </c>
      <c r="Q95" s="204">
        <f>+CIP!Q108</f>
        <v>0</v>
      </c>
      <c r="R95" s="204">
        <f>+CIP!R108</f>
        <v>0</v>
      </c>
      <c r="S95" s="204">
        <f>+CIP!S108</f>
        <v>0</v>
      </c>
      <c r="T95" s="204">
        <f>+CIP!T108</f>
        <v>0</v>
      </c>
      <c r="U95" s="204">
        <f>+CIP!U108</f>
        <v>0</v>
      </c>
      <c r="V95" s="204">
        <f>+CIP!V108</f>
        <v>0</v>
      </c>
      <c r="W95" s="204">
        <f>+CIP!W108</f>
        <v>0</v>
      </c>
      <c r="X95" s="204">
        <f>+CIP!X108</f>
        <v>0</v>
      </c>
      <c r="Y95" s="204">
        <f>+CIP!Y108</f>
        <v>0</v>
      </c>
      <c r="Z95" s="204">
        <f>+CIP!AA108</f>
        <v>0</v>
      </c>
      <c r="AA95" s="204">
        <f>+CIP!AB108</f>
        <v>0</v>
      </c>
      <c r="AB95" s="204">
        <f>+CIP!AC108</f>
        <v>0</v>
      </c>
      <c r="AD95" s="143" t="str">
        <f t="shared" si="143"/>
        <v/>
      </c>
      <c r="AE95" s="783" t="s">
        <v>555</v>
      </c>
      <c r="AG95" s="221" t="s">
        <v>591</v>
      </c>
    </row>
    <row r="96" spans="1:33" ht="12" customHeight="1">
      <c r="B96" s="37" t="s">
        <v>153</v>
      </c>
      <c r="C96" s="204">
        <v>0</v>
      </c>
      <c r="D96" s="204">
        <v>0</v>
      </c>
      <c r="E96" s="204">
        <v>0</v>
      </c>
      <c r="F96" s="204">
        <v>0</v>
      </c>
      <c r="G96" s="204">
        <v>0</v>
      </c>
      <c r="H96" s="204">
        <v>0</v>
      </c>
      <c r="I96" s="204">
        <v>0</v>
      </c>
      <c r="J96" s="204">
        <v>0</v>
      </c>
      <c r="K96" s="204">
        <v>0</v>
      </c>
      <c r="L96" s="204">
        <v>0</v>
      </c>
      <c r="M96" s="204">
        <v>0</v>
      </c>
      <c r="N96" s="204">
        <v>0</v>
      </c>
      <c r="O96" s="204">
        <v>0</v>
      </c>
      <c r="P96" s="204">
        <v>0</v>
      </c>
      <c r="Q96" s="204">
        <v>0</v>
      </c>
      <c r="R96" s="204">
        <v>0</v>
      </c>
      <c r="S96" s="204">
        <v>0</v>
      </c>
      <c r="T96" s="204">
        <v>0</v>
      </c>
      <c r="U96" s="204">
        <v>0</v>
      </c>
      <c r="V96" s="204">
        <v>0</v>
      </c>
      <c r="W96" s="204">
        <v>0</v>
      </c>
      <c r="X96" s="204">
        <v>0</v>
      </c>
      <c r="Y96" s="204">
        <v>0</v>
      </c>
      <c r="Z96" s="204">
        <v>0</v>
      </c>
      <c r="AA96" s="204">
        <v>0</v>
      </c>
      <c r="AB96" s="204">
        <v>0</v>
      </c>
      <c r="AD96" s="143" t="str">
        <f t="shared" si="143"/>
        <v/>
      </c>
      <c r="AE96" s="4"/>
    </row>
    <row r="97" spans="1:33" ht="12" customHeight="1">
      <c r="B97" s="37" t="s">
        <v>592</v>
      </c>
      <c r="C97" s="204">
        <v>0</v>
      </c>
      <c r="D97" s="204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0</v>
      </c>
      <c r="M97" s="204">
        <v>0</v>
      </c>
      <c r="N97" s="204">
        <v>0</v>
      </c>
      <c r="O97" s="204">
        <v>0</v>
      </c>
      <c r="P97" s="204">
        <v>0</v>
      </c>
      <c r="Q97" s="204">
        <v>0</v>
      </c>
      <c r="R97" s="204">
        <v>0</v>
      </c>
      <c r="S97" s="204">
        <v>0</v>
      </c>
      <c r="T97" s="204">
        <v>0</v>
      </c>
      <c r="U97" s="204">
        <v>0</v>
      </c>
      <c r="V97" s="204">
        <v>0</v>
      </c>
      <c r="W97" s="204">
        <v>0</v>
      </c>
      <c r="X97" s="204">
        <v>0</v>
      </c>
      <c r="Y97" s="204">
        <v>0</v>
      </c>
      <c r="Z97" s="204">
        <v>0</v>
      </c>
      <c r="AA97" s="204">
        <v>0</v>
      </c>
      <c r="AB97" s="204">
        <v>0</v>
      </c>
      <c r="AD97" s="143" t="str">
        <f t="shared" si="143"/>
        <v/>
      </c>
      <c r="AE97" s="4"/>
    </row>
    <row r="98" spans="1:33" ht="12" customHeight="1" thickBot="1">
      <c r="B98" s="857" t="s">
        <v>593</v>
      </c>
      <c r="C98" s="858">
        <f t="shared" ref="C98:V98" si="153">SUM(C92:C97)</f>
        <v>0</v>
      </c>
      <c r="D98" s="858">
        <f t="shared" si="153"/>
        <v>0</v>
      </c>
      <c r="E98" s="858">
        <f t="shared" si="153"/>
        <v>0</v>
      </c>
      <c r="F98" s="858">
        <f t="shared" si="153"/>
        <v>0</v>
      </c>
      <c r="G98" s="858">
        <f t="shared" si="153"/>
        <v>0</v>
      </c>
      <c r="H98" s="858">
        <f t="shared" si="153"/>
        <v>0</v>
      </c>
      <c r="I98" s="858">
        <f t="shared" si="153"/>
        <v>0</v>
      </c>
      <c r="J98" s="858">
        <f t="shared" si="153"/>
        <v>0</v>
      </c>
      <c r="K98" s="858">
        <f t="shared" si="153"/>
        <v>0</v>
      </c>
      <c r="L98" s="858">
        <f t="shared" si="153"/>
        <v>0</v>
      </c>
      <c r="M98" s="858">
        <f t="shared" si="153"/>
        <v>0</v>
      </c>
      <c r="N98" s="858">
        <f t="shared" si="153"/>
        <v>0</v>
      </c>
      <c r="O98" s="858">
        <f t="shared" si="153"/>
        <v>0</v>
      </c>
      <c r="P98" s="858">
        <f t="shared" si="153"/>
        <v>0</v>
      </c>
      <c r="Q98" s="858">
        <f t="shared" si="153"/>
        <v>0</v>
      </c>
      <c r="R98" s="858">
        <f t="shared" si="153"/>
        <v>0</v>
      </c>
      <c r="S98" s="858">
        <f t="shared" si="153"/>
        <v>0</v>
      </c>
      <c r="T98" s="858">
        <f t="shared" si="153"/>
        <v>0</v>
      </c>
      <c r="U98" s="858">
        <f t="shared" si="153"/>
        <v>0</v>
      </c>
      <c r="V98" s="858">
        <f t="shared" si="153"/>
        <v>0</v>
      </c>
      <c r="W98" s="858">
        <f t="shared" ref="W98:X98" si="154">SUM(W92:W97)</f>
        <v>0</v>
      </c>
      <c r="X98" s="858">
        <f t="shared" si="154"/>
        <v>0</v>
      </c>
      <c r="Y98" s="858">
        <f t="shared" ref="Y98:Z98" si="155">SUM(Y92:Y97)</f>
        <v>0</v>
      </c>
      <c r="Z98" s="858">
        <f t="shared" si="155"/>
        <v>0</v>
      </c>
      <c r="AA98" s="858">
        <f t="shared" ref="AA98:AB98" si="156">SUM(AA92:AA97)</f>
        <v>0</v>
      </c>
      <c r="AB98" s="858">
        <f t="shared" si="156"/>
        <v>0</v>
      </c>
      <c r="AD98" s="143" t="str">
        <f t="shared" si="143"/>
        <v/>
      </c>
    </row>
    <row r="99" spans="1:33" ht="12" customHeight="1" thickTop="1">
      <c r="B99" s="859" t="s">
        <v>594</v>
      </c>
      <c r="C99" s="860">
        <v>0</v>
      </c>
      <c r="D99" s="860">
        <v>0</v>
      </c>
      <c r="E99" s="860">
        <v>0</v>
      </c>
      <c r="F99" s="860">
        <v>0</v>
      </c>
      <c r="G99" s="860">
        <v>0</v>
      </c>
      <c r="H99" s="860">
        <v>0</v>
      </c>
      <c r="I99" s="860">
        <v>0</v>
      </c>
      <c r="J99" s="860">
        <v>0</v>
      </c>
      <c r="K99" s="860">
        <v>0</v>
      </c>
      <c r="L99" s="860">
        <v>0</v>
      </c>
      <c r="M99" s="860">
        <v>0</v>
      </c>
      <c r="N99" s="860">
        <v>0</v>
      </c>
      <c r="O99" s="860">
        <v>0</v>
      </c>
      <c r="P99" s="860">
        <v>0</v>
      </c>
      <c r="Q99" s="861">
        <v>0</v>
      </c>
      <c r="R99" s="861">
        <v>0</v>
      </c>
      <c r="S99" s="861">
        <f t="shared" ref="S99:Z99" si="157">ROUND(R99*(1+$AE99),0)</f>
        <v>0</v>
      </c>
      <c r="T99" s="861">
        <f t="shared" si="157"/>
        <v>0</v>
      </c>
      <c r="U99" s="861">
        <f t="shared" si="157"/>
        <v>0</v>
      </c>
      <c r="V99" s="861">
        <f t="shared" si="157"/>
        <v>0</v>
      </c>
      <c r="W99" s="861">
        <f t="shared" si="157"/>
        <v>0</v>
      </c>
      <c r="X99" s="861">
        <f t="shared" si="157"/>
        <v>0</v>
      </c>
      <c r="Y99" s="861">
        <f t="shared" si="157"/>
        <v>0</v>
      </c>
      <c r="Z99" s="861">
        <f t="shared" si="157"/>
        <v>0</v>
      </c>
      <c r="AA99" s="861">
        <f t="shared" ref="AA99:AB99" si="158">ROUND(Z99*(1+$AE99),0)</f>
        <v>0</v>
      </c>
      <c r="AB99" s="861">
        <f t="shared" si="158"/>
        <v>0</v>
      </c>
      <c r="AD99" s="8" t="str">
        <f t="shared" si="143"/>
        <v/>
      </c>
      <c r="AE99" s="163">
        <v>0</v>
      </c>
    </row>
    <row r="100" spans="1:33" ht="12" customHeight="1">
      <c r="C100" s="864"/>
      <c r="D100" s="864"/>
      <c r="E100" s="864"/>
      <c r="F100" s="864"/>
      <c r="G100" s="864"/>
      <c r="H100" s="864"/>
      <c r="I100" s="864"/>
      <c r="J100" s="864"/>
      <c r="K100" s="864"/>
      <c r="L100" s="864"/>
      <c r="M100" s="864"/>
      <c r="N100" s="864"/>
      <c r="O100" s="864"/>
      <c r="P100" s="864"/>
      <c r="Q100" s="726"/>
      <c r="R100" s="726"/>
      <c r="S100" s="726"/>
      <c r="T100" s="726"/>
      <c r="U100" s="726"/>
      <c r="V100" s="726"/>
      <c r="W100" s="726"/>
      <c r="X100" s="726"/>
      <c r="Y100" s="726"/>
      <c r="Z100" s="726"/>
      <c r="AA100" s="726"/>
      <c r="AB100" s="726"/>
      <c r="AC100" s="549"/>
      <c r="AD100" s="8"/>
      <c r="AE100" s="865"/>
      <c r="AF100" s="4"/>
    </row>
    <row r="101" spans="1:33" ht="12" customHeight="1" thickBot="1">
      <c r="B101" s="833" t="s">
        <v>133</v>
      </c>
      <c r="C101" s="834">
        <f t="shared" ref="C101:O101" si="159">C84-C98-C99</f>
        <v>0</v>
      </c>
      <c r="D101" s="834">
        <f t="shared" si="159"/>
        <v>0</v>
      </c>
      <c r="E101" s="834">
        <f t="shared" si="159"/>
        <v>0</v>
      </c>
      <c r="F101" s="834">
        <f t="shared" si="159"/>
        <v>0</v>
      </c>
      <c r="G101" s="834">
        <f t="shared" si="159"/>
        <v>0</v>
      </c>
      <c r="H101" s="834">
        <f t="shared" si="159"/>
        <v>0</v>
      </c>
      <c r="I101" s="834">
        <f t="shared" si="159"/>
        <v>0</v>
      </c>
      <c r="J101" s="834">
        <f t="shared" si="159"/>
        <v>0</v>
      </c>
      <c r="K101" s="834">
        <f t="shared" si="159"/>
        <v>0</v>
      </c>
      <c r="L101" s="834">
        <f t="shared" si="159"/>
        <v>0</v>
      </c>
      <c r="M101" s="834">
        <f t="shared" si="159"/>
        <v>0</v>
      </c>
      <c r="N101" s="834">
        <f t="shared" si="159"/>
        <v>0</v>
      </c>
      <c r="O101" s="834">
        <f t="shared" si="159"/>
        <v>0</v>
      </c>
      <c r="P101" s="834">
        <f>P84-P98-P99</f>
        <v>0</v>
      </c>
      <c r="Q101" s="834">
        <f t="shared" ref="Q101:W101" si="160">Q84-Q98-Q99</f>
        <v>0</v>
      </c>
      <c r="R101" s="834">
        <f t="shared" si="160"/>
        <v>0</v>
      </c>
      <c r="S101" s="834">
        <f t="shared" si="160"/>
        <v>0</v>
      </c>
      <c r="T101" s="834">
        <f t="shared" si="160"/>
        <v>0</v>
      </c>
      <c r="U101" s="834">
        <f t="shared" si="160"/>
        <v>0</v>
      </c>
      <c r="V101" s="834">
        <f t="shared" si="160"/>
        <v>0</v>
      </c>
      <c r="W101" s="834">
        <f t="shared" si="160"/>
        <v>0</v>
      </c>
      <c r="X101" s="834">
        <f t="shared" ref="X101:Y101" si="161">X84-X98-X99</f>
        <v>0</v>
      </c>
      <c r="Y101" s="834">
        <f t="shared" si="161"/>
        <v>0</v>
      </c>
      <c r="Z101" s="834">
        <f t="shared" ref="Z101:AB101" si="162">Z84-Z98-Z99</f>
        <v>0</v>
      </c>
      <c r="AA101" s="834">
        <f t="shared" si="162"/>
        <v>0</v>
      </c>
      <c r="AB101" s="834">
        <f t="shared" si="162"/>
        <v>0</v>
      </c>
    </row>
    <row r="102" spans="1:33" ht="12" customHeight="1" thickTop="1"/>
    <row r="103" spans="1:33" ht="12" customHeight="1"/>
    <row r="104" spans="1:33" ht="12" customHeight="1">
      <c r="C104" s="144" t="s">
        <v>82</v>
      </c>
      <c r="D104" s="144" t="s">
        <v>83</v>
      </c>
      <c r="E104" s="144" t="s">
        <v>84</v>
      </c>
      <c r="F104" s="144" t="s">
        <v>85</v>
      </c>
      <c r="G104" s="144" t="s">
        <v>86</v>
      </c>
      <c r="H104" s="144" t="s">
        <v>87</v>
      </c>
      <c r="I104" s="144" t="s">
        <v>88</v>
      </c>
      <c r="J104" s="144" t="s">
        <v>89</v>
      </c>
      <c r="K104" s="144" t="s">
        <v>90</v>
      </c>
      <c r="L104" s="144" t="s">
        <v>91</v>
      </c>
      <c r="M104" s="144" t="s">
        <v>92</v>
      </c>
      <c r="N104" s="144" t="s">
        <v>93</v>
      </c>
      <c r="O104" s="144" t="s">
        <v>94</v>
      </c>
      <c r="P104" s="144" t="s">
        <v>95</v>
      </c>
      <c r="Q104" s="144" t="s">
        <v>96</v>
      </c>
      <c r="R104" s="144" t="s">
        <v>97</v>
      </c>
      <c r="S104" s="144" t="s">
        <v>98</v>
      </c>
      <c r="T104" s="144" t="s">
        <v>99</v>
      </c>
      <c r="U104" s="144" t="s">
        <v>100</v>
      </c>
      <c r="V104" s="144" t="s">
        <v>101</v>
      </c>
      <c r="W104" s="144" t="s">
        <v>102</v>
      </c>
      <c r="X104" s="144" t="s">
        <v>103</v>
      </c>
      <c r="Y104" s="144" t="s">
        <v>104</v>
      </c>
      <c r="Z104" s="144" t="s">
        <v>105</v>
      </c>
      <c r="AA104" s="144" t="s">
        <v>106</v>
      </c>
      <c r="AB104" s="144" t="s">
        <v>107</v>
      </c>
      <c r="AD104" s="111" t="s">
        <v>212</v>
      </c>
      <c r="AE104" s="260" t="s">
        <v>157</v>
      </c>
    </row>
    <row r="105" spans="1:33" ht="12" customHeight="1">
      <c r="C105" s="144" t="s">
        <v>158</v>
      </c>
      <c r="D105" s="144" t="s">
        <v>158</v>
      </c>
      <c r="E105" s="144" t="s">
        <v>158</v>
      </c>
      <c r="F105" s="144" t="s">
        <v>158</v>
      </c>
      <c r="G105" s="144" t="s">
        <v>158</v>
      </c>
      <c r="H105" s="144" t="s">
        <v>158</v>
      </c>
      <c r="I105" s="144" t="s">
        <v>158</v>
      </c>
      <c r="J105" s="144" t="s">
        <v>158</v>
      </c>
      <c r="K105" s="144" t="s">
        <v>158</v>
      </c>
      <c r="L105" s="144" t="s">
        <v>158</v>
      </c>
      <c r="M105" s="144" t="s">
        <v>158</v>
      </c>
      <c r="N105" s="144" t="s">
        <v>158</v>
      </c>
      <c r="O105" s="144" t="s">
        <v>158</v>
      </c>
      <c r="P105" s="144" t="s">
        <v>158</v>
      </c>
      <c r="Q105" s="144" t="s">
        <v>158</v>
      </c>
      <c r="R105" s="144" t="s">
        <v>158</v>
      </c>
      <c r="S105" s="144" t="s">
        <v>159</v>
      </c>
      <c r="T105" s="144" t="s">
        <v>159</v>
      </c>
      <c r="U105" s="144" t="s">
        <v>159</v>
      </c>
      <c r="V105" s="144" t="s">
        <v>159</v>
      </c>
      <c r="W105" s="144" t="s">
        <v>159</v>
      </c>
      <c r="X105" s="144" t="s">
        <v>159</v>
      </c>
      <c r="Y105" s="144" t="s">
        <v>159</v>
      </c>
      <c r="Z105" s="144" t="s">
        <v>159</v>
      </c>
      <c r="AA105" s="144" t="s">
        <v>159</v>
      </c>
      <c r="AB105" s="144" t="s">
        <v>159</v>
      </c>
      <c r="AC105" s="144"/>
      <c r="AD105" s="111" t="s">
        <v>213</v>
      </c>
      <c r="AE105" s="260" t="s">
        <v>160</v>
      </c>
    </row>
    <row r="106" spans="1:33" ht="12" customHeight="1">
      <c r="B106" s="108" t="s">
        <v>437</v>
      </c>
      <c r="C106" s="106">
        <v>2006</v>
      </c>
      <c r="D106" s="106">
        <v>2007</v>
      </c>
      <c r="E106" s="106">
        <v>2008</v>
      </c>
      <c r="F106" s="106">
        <v>2009</v>
      </c>
      <c r="G106" s="106">
        <v>2010</v>
      </c>
      <c r="H106" s="106">
        <v>2011</v>
      </c>
      <c r="I106" s="106">
        <v>2012</v>
      </c>
      <c r="J106" s="106">
        <v>2013</v>
      </c>
      <c r="K106" s="106">
        <v>2014</v>
      </c>
      <c r="L106" s="106">
        <v>2015</v>
      </c>
      <c r="M106" s="106">
        <v>2016</v>
      </c>
      <c r="N106" s="106">
        <v>2017</v>
      </c>
      <c r="O106" s="106">
        <v>2018</v>
      </c>
      <c r="P106" s="106">
        <v>2019</v>
      </c>
      <c r="Q106" s="106">
        <v>2020</v>
      </c>
      <c r="R106" s="106">
        <v>2021</v>
      </c>
      <c r="S106" s="106">
        <v>2022</v>
      </c>
      <c r="T106" s="106">
        <v>2023</v>
      </c>
      <c r="U106" s="106">
        <v>2024</v>
      </c>
      <c r="V106" s="106">
        <v>2025</v>
      </c>
      <c r="W106" s="106">
        <v>2026</v>
      </c>
      <c r="X106" s="106">
        <v>2027</v>
      </c>
      <c r="Y106" s="106">
        <v>2028</v>
      </c>
      <c r="Z106" s="106">
        <v>2029</v>
      </c>
      <c r="AA106" s="106">
        <v>2030</v>
      </c>
      <c r="AB106" s="106">
        <v>2031</v>
      </c>
    </row>
    <row r="107" spans="1:33" s="159" customFormat="1" ht="12" customHeight="1">
      <c r="A107" s="224"/>
      <c r="B107" s="158" t="s">
        <v>595</v>
      </c>
      <c r="C107" s="694">
        <v>38534</v>
      </c>
      <c r="D107" s="694">
        <v>38899</v>
      </c>
      <c r="E107" s="694">
        <v>39264</v>
      </c>
      <c r="F107" s="694">
        <v>39630</v>
      </c>
      <c r="G107" s="694">
        <v>39995</v>
      </c>
      <c r="H107" s="694">
        <v>40360</v>
      </c>
      <c r="I107" s="694">
        <v>40725</v>
      </c>
      <c r="J107" s="694">
        <v>41091</v>
      </c>
      <c r="K107" s="694">
        <v>41456</v>
      </c>
      <c r="L107" s="694">
        <v>41821</v>
      </c>
      <c r="M107" s="694">
        <v>42186</v>
      </c>
      <c r="N107" s="694" t="s">
        <v>439</v>
      </c>
      <c r="O107" s="694" t="s">
        <v>440</v>
      </c>
      <c r="P107" s="694" t="s">
        <v>441</v>
      </c>
      <c r="Q107" s="694" t="s">
        <v>442</v>
      </c>
      <c r="R107" s="694" t="s">
        <v>443</v>
      </c>
      <c r="S107" s="694" t="s">
        <v>444</v>
      </c>
      <c r="T107" s="694" t="s">
        <v>445</v>
      </c>
      <c r="U107" s="694" t="s">
        <v>446</v>
      </c>
      <c r="V107" s="693" t="s">
        <v>447</v>
      </c>
      <c r="W107" s="693" t="s">
        <v>448</v>
      </c>
      <c r="X107" s="693" t="s">
        <v>449</v>
      </c>
      <c r="Y107" s="693" t="s">
        <v>450</v>
      </c>
      <c r="Z107" s="693" t="s">
        <v>451</v>
      </c>
      <c r="AA107" s="693" t="s">
        <v>452</v>
      </c>
      <c r="AB107" s="693" t="s">
        <v>453</v>
      </c>
      <c r="AC107" s="144"/>
      <c r="AD107" s="143"/>
      <c r="AE107" s="143"/>
      <c r="AG107" s="224"/>
    </row>
    <row r="108" spans="1:33" s="160" customFormat="1" ht="12" customHeight="1">
      <c r="A108" s="225"/>
      <c r="B108" s="367" t="s">
        <v>596</v>
      </c>
      <c r="C108" s="204">
        <v>0</v>
      </c>
      <c r="D108" s="204">
        <v>0</v>
      </c>
      <c r="E108" s="204">
        <v>0</v>
      </c>
      <c r="F108" s="204">
        <v>0</v>
      </c>
      <c r="G108" s="204">
        <v>0</v>
      </c>
      <c r="H108" s="204">
        <v>0</v>
      </c>
      <c r="I108" s="204">
        <v>0</v>
      </c>
      <c r="J108" s="204">
        <v>0</v>
      </c>
      <c r="K108" s="204">
        <v>0</v>
      </c>
      <c r="L108" s="204">
        <v>0</v>
      </c>
      <c r="M108" s="204">
        <v>0</v>
      </c>
      <c r="N108" s="204">
        <v>0</v>
      </c>
      <c r="O108" s="204">
        <v>0</v>
      </c>
      <c r="P108" s="204">
        <v>0</v>
      </c>
      <c r="Q108" s="204">
        <v>0</v>
      </c>
      <c r="R108" s="204">
        <v>0</v>
      </c>
      <c r="S108" s="204">
        <v>0</v>
      </c>
      <c r="T108" s="204">
        <v>0</v>
      </c>
      <c r="U108" s="204">
        <v>0</v>
      </c>
      <c r="V108" s="204">
        <v>0</v>
      </c>
      <c r="W108" s="204">
        <v>0</v>
      </c>
      <c r="X108" s="204">
        <v>0</v>
      </c>
      <c r="Y108" s="204">
        <v>0</v>
      </c>
      <c r="Z108" s="204">
        <v>0</v>
      </c>
      <c r="AA108" s="204">
        <v>0</v>
      </c>
      <c r="AB108" s="204">
        <v>0</v>
      </c>
      <c r="AC108" s="13"/>
      <c r="AD108" s="143"/>
      <c r="AE108" s="143"/>
      <c r="AG108" s="884"/>
    </row>
    <row r="109" spans="1:33" s="160" customFormat="1" ht="12" customHeight="1">
      <c r="A109" s="225"/>
      <c r="B109" s="804" t="s">
        <v>597</v>
      </c>
      <c r="C109" s="939" t="str">
        <f>IFERROR(C108/C80,"")</f>
        <v/>
      </c>
      <c r="D109" s="939" t="str">
        <f t="shared" ref="D109:W109" si="163">IFERROR(D108/D80,"")</f>
        <v/>
      </c>
      <c r="E109" s="939" t="str">
        <f t="shared" si="163"/>
        <v/>
      </c>
      <c r="F109" s="939" t="str">
        <f t="shared" si="163"/>
        <v/>
      </c>
      <c r="G109" s="939" t="str">
        <f t="shared" si="163"/>
        <v/>
      </c>
      <c r="H109" s="939" t="str">
        <f t="shared" si="163"/>
        <v/>
      </c>
      <c r="I109" s="939" t="str">
        <f t="shared" si="163"/>
        <v/>
      </c>
      <c r="J109" s="939" t="str">
        <f t="shared" si="163"/>
        <v/>
      </c>
      <c r="K109" s="939" t="str">
        <f t="shared" si="163"/>
        <v/>
      </c>
      <c r="L109" s="939" t="str">
        <f t="shared" si="163"/>
        <v/>
      </c>
      <c r="M109" s="939" t="str">
        <f t="shared" si="163"/>
        <v/>
      </c>
      <c r="N109" s="939" t="str">
        <f t="shared" si="163"/>
        <v/>
      </c>
      <c r="O109" s="939" t="str">
        <f t="shared" si="163"/>
        <v/>
      </c>
      <c r="P109" s="939" t="str">
        <f t="shared" si="163"/>
        <v/>
      </c>
      <c r="Q109" s="939" t="str">
        <f t="shared" si="163"/>
        <v/>
      </c>
      <c r="R109" s="939" t="str">
        <f t="shared" si="163"/>
        <v/>
      </c>
      <c r="S109" s="939" t="str">
        <f t="shared" si="163"/>
        <v/>
      </c>
      <c r="T109" s="939" t="str">
        <f t="shared" si="163"/>
        <v/>
      </c>
      <c r="U109" s="939" t="str">
        <f t="shared" si="163"/>
        <v/>
      </c>
      <c r="V109" s="939" t="str">
        <f t="shared" si="163"/>
        <v/>
      </c>
      <c r="W109" s="939" t="str">
        <f t="shared" si="163"/>
        <v/>
      </c>
      <c r="X109" s="939" t="str">
        <f t="shared" ref="X109:Y109" si="164">IFERROR(X108/X80,"")</f>
        <v/>
      </c>
      <c r="Y109" s="939" t="str">
        <f t="shared" si="164"/>
        <v/>
      </c>
      <c r="Z109" s="939" t="str">
        <f t="shared" ref="Z109:AB109" si="165">IFERROR(Z108/Z80,"")</f>
        <v/>
      </c>
      <c r="AA109" s="939" t="str">
        <f t="shared" si="165"/>
        <v/>
      </c>
      <c r="AB109" s="939" t="str">
        <f t="shared" si="165"/>
        <v/>
      </c>
      <c r="AC109" s="13"/>
      <c r="AD109" s="143"/>
      <c r="AE109" s="143"/>
      <c r="AG109" s="884" t="s">
        <v>598</v>
      </c>
    </row>
    <row r="110" spans="1:33" ht="12" customHeight="1" thickBot="1">
      <c r="A110" s="943"/>
      <c r="B110" s="917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</row>
    <row r="111" spans="1:33" ht="12" customHeight="1"/>
    <row r="112" spans="1:33" ht="12" customHeight="1">
      <c r="C112" s="144" t="s">
        <v>82</v>
      </c>
      <c r="D112" s="144" t="s">
        <v>83</v>
      </c>
      <c r="E112" s="144" t="s">
        <v>84</v>
      </c>
      <c r="F112" s="144" t="s">
        <v>85</v>
      </c>
      <c r="G112" s="144" t="s">
        <v>86</v>
      </c>
      <c r="H112" s="144" t="s">
        <v>87</v>
      </c>
      <c r="I112" s="144" t="s">
        <v>88</v>
      </c>
      <c r="J112" s="144" t="s">
        <v>89</v>
      </c>
      <c r="K112" s="144" t="s">
        <v>90</v>
      </c>
      <c r="L112" s="144" t="s">
        <v>91</v>
      </c>
      <c r="M112" s="144" t="s">
        <v>92</v>
      </c>
      <c r="N112" s="144" t="s">
        <v>93</v>
      </c>
      <c r="O112" s="144" t="s">
        <v>94</v>
      </c>
      <c r="P112" s="144" t="s">
        <v>95</v>
      </c>
      <c r="Q112" s="144" t="s">
        <v>96</v>
      </c>
      <c r="R112" s="144" t="s">
        <v>97</v>
      </c>
      <c r="S112" s="144" t="s">
        <v>98</v>
      </c>
      <c r="T112" s="144" t="s">
        <v>99</v>
      </c>
      <c r="U112" s="144" t="s">
        <v>100</v>
      </c>
      <c r="V112" s="144" t="s">
        <v>101</v>
      </c>
      <c r="W112" s="144" t="s">
        <v>102</v>
      </c>
      <c r="X112" s="144" t="s">
        <v>103</v>
      </c>
      <c r="Y112" s="144" t="s">
        <v>104</v>
      </c>
      <c r="Z112" s="144" t="s">
        <v>105</v>
      </c>
      <c r="AA112" s="144" t="s">
        <v>106</v>
      </c>
      <c r="AB112" s="144" t="s">
        <v>107</v>
      </c>
      <c r="AD112" s="111" t="s">
        <v>212</v>
      </c>
      <c r="AE112" s="260" t="s">
        <v>157</v>
      </c>
    </row>
    <row r="113" spans="1:33" ht="12" customHeight="1">
      <c r="C113" s="144" t="s">
        <v>158</v>
      </c>
      <c r="D113" s="144" t="s">
        <v>158</v>
      </c>
      <c r="E113" s="144" t="s">
        <v>158</v>
      </c>
      <c r="F113" s="144" t="s">
        <v>158</v>
      </c>
      <c r="G113" s="144" t="s">
        <v>158</v>
      </c>
      <c r="H113" s="144" t="s">
        <v>158</v>
      </c>
      <c r="I113" s="144" t="s">
        <v>158</v>
      </c>
      <c r="J113" s="144" t="s">
        <v>158</v>
      </c>
      <c r="K113" s="144" t="s">
        <v>158</v>
      </c>
      <c r="L113" s="144" t="s">
        <v>158</v>
      </c>
      <c r="M113" s="144" t="s">
        <v>158</v>
      </c>
      <c r="N113" s="144" t="s">
        <v>158</v>
      </c>
      <c r="O113" s="144" t="s">
        <v>158</v>
      </c>
      <c r="P113" s="144" t="s">
        <v>158</v>
      </c>
      <c r="Q113" s="144" t="s">
        <v>158</v>
      </c>
      <c r="R113" s="144" t="s">
        <v>158</v>
      </c>
      <c r="S113" s="144" t="s">
        <v>159</v>
      </c>
      <c r="T113" s="144" t="s">
        <v>159</v>
      </c>
      <c r="U113" s="144" t="s">
        <v>159</v>
      </c>
      <c r="V113" s="144" t="s">
        <v>159</v>
      </c>
      <c r="W113" s="144" t="s">
        <v>159</v>
      </c>
      <c r="X113" s="144" t="s">
        <v>159</v>
      </c>
      <c r="Y113" s="144" t="s">
        <v>159</v>
      </c>
      <c r="Z113" s="144" t="s">
        <v>159</v>
      </c>
      <c r="AA113" s="144" t="s">
        <v>159</v>
      </c>
      <c r="AB113" s="144" t="s">
        <v>159</v>
      </c>
      <c r="AC113" s="144"/>
      <c r="AD113" s="111" t="s">
        <v>213</v>
      </c>
      <c r="AE113" s="260" t="s">
        <v>160</v>
      </c>
    </row>
    <row r="114" spans="1:33" ht="12" customHeight="1">
      <c r="B114" s="11" t="s">
        <v>572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11"/>
      <c r="AE114" s="260"/>
      <c r="AG114" s="221" t="s">
        <v>573</v>
      </c>
    </row>
    <row r="115" spans="1:33" s="148" customFormat="1" ht="12" customHeight="1">
      <c r="A115" s="223" t="s">
        <v>142</v>
      </c>
      <c r="B115" s="145" t="s">
        <v>574</v>
      </c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7"/>
      <c r="AD115" s="142"/>
      <c r="AE115" s="142"/>
      <c r="AG115" s="674"/>
    </row>
    <row r="116" spans="1:33" ht="12" customHeight="1">
      <c r="B116" s="149" t="s">
        <v>575</v>
      </c>
      <c r="C116" s="204">
        <v>0</v>
      </c>
      <c r="D116" s="204">
        <v>0</v>
      </c>
      <c r="E116" s="204">
        <v>0</v>
      </c>
      <c r="F116" s="204">
        <v>0</v>
      </c>
      <c r="G116" s="204">
        <v>0</v>
      </c>
      <c r="H116" s="204">
        <v>0</v>
      </c>
      <c r="I116" s="204">
        <v>0</v>
      </c>
      <c r="J116" s="204">
        <v>0</v>
      </c>
      <c r="K116" s="204">
        <v>0</v>
      </c>
      <c r="L116" s="204">
        <v>0</v>
      </c>
      <c r="M116" s="204">
        <v>0</v>
      </c>
      <c r="N116" s="204">
        <v>0</v>
      </c>
      <c r="O116" s="204">
        <v>0</v>
      </c>
      <c r="P116" s="204">
        <v>0</v>
      </c>
      <c r="Q116" s="204">
        <v>0</v>
      </c>
      <c r="R116" s="204">
        <v>0</v>
      </c>
      <c r="S116" s="204">
        <f>S136+S137-S117</f>
        <v>0</v>
      </c>
      <c r="T116" s="204">
        <f>T136+T137-T117</f>
        <v>0</v>
      </c>
      <c r="U116" s="204">
        <f>U136+U137-U117</f>
        <v>0</v>
      </c>
      <c r="V116" s="204">
        <f>V136+V137-V117</f>
        <v>0</v>
      </c>
      <c r="W116" s="204">
        <v>0</v>
      </c>
      <c r="X116" s="204">
        <v>0</v>
      </c>
      <c r="Y116" s="204">
        <v>0</v>
      </c>
      <c r="Z116" s="204">
        <v>0</v>
      </c>
      <c r="AA116" s="204">
        <v>0</v>
      </c>
      <c r="AB116" s="204">
        <v>0</v>
      </c>
      <c r="AD116" s="8" t="str">
        <f t="shared" ref="AD116:AD126" si="166">IFERROR(AVERAGE((M116-L116)/L116,(N116-M116)/M116,(O116-N116)/N116,(P116-O116)/O116,(Q116-P116)/P116),"")</f>
        <v/>
      </c>
      <c r="AG116" s="221" t="s">
        <v>576</v>
      </c>
    </row>
    <row r="117" spans="1:33" ht="12" customHeight="1">
      <c r="B117" s="149" t="s">
        <v>577</v>
      </c>
      <c r="C117" s="204">
        <v>0</v>
      </c>
      <c r="D117" s="204">
        <v>0</v>
      </c>
      <c r="E117" s="204">
        <v>0</v>
      </c>
      <c r="F117" s="204">
        <v>0</v>
      </c>
      <c r="G117" s="204">
        <v>0</v>
      </c>
      <c r="H117" s="204">
        <v>0</v>
      </c>
      <c r="I117" s="204">
        <v>0</v>
      </c>
      <c r="J117" s="204">
        <v>0</v>
      </c>
      <c r="K117" s="204">
        <v>0</v>
      </c>
      <c r="L117" s="204">
        <v>0</v>
      </c>
      <c r="M117" s="204">
        <v>0</v>
      </c>
      <c r="N117" s="204">
        <v>0</v>
      </c>
      <c r="O117" s="204">
        <v>0</v>
      </c>
      <c r="P117" s="204">
        <v>0</v>
      </c>
      <c r="Q117" s="204">
        <v>0</v>
      </c>
      <c r="R117" s="204">
        <v>0</v>
      </c>
      <c r="S117" s="204">
        <v>0</v>
      </c>
      <c r="T117" s="204">
        <v>0</v>
      </c>
      <c r="U117" s="204">
        <v>0</v>
      </c>
      <c r="V117" s="204">
        <v>0</v>
      </c>
      <c r="W117" s="204">
        <v>0</v>
      </c>
      <c r="X117" s="204">
        <v>0</v>
      </c>
      <c r="Y117" s="204">
        <v>0</v>
      </c>
      <c r="Z117" s="204">
        <v>0</v>
      </c>
      <c r="AA117" s="204">
        <v>0</v>
      </c>
      <c r="AB117" s="204">
        <v>0</v>
      </c>
      <c r="AD117" s="150" t="str">
        <f t="shared" si="166"/>
        <v/>
      </c>
      <c r="AG117" s="221" t="s">
        <v>578</v>
      </c>
    </row>
    <row r="118" spans="1:33" ht="12" customHeight="1">
      <c r="B118" s="219" t="s">
        <v>579</v>
      </c>
      <c r="C118" s="485">
        <f t="shared" ref="C118:V118" si="167">SUM(C116:C117)</f>
        <v>0</v>
      </c>
      <c r="D118" s="485">
        <f t="shared" si="167"/>
        <v>0</v>
      </c>
      <c r="E118" s="485">
        <f t="shared" si="167"/>
        <v>0</v>
      </c>
      <c r="F118" s="485">
        <f t="shared" si="167"/>
        <v>0</v>
      </c>
      <c r="G118" s="485">
        <f t="shared" si="167"/>
        <v>0</v>
      </c>
      <c r="H118" s="485">
        <f t="shared" si="167"/>
        <v>0</v>
      </c>
      <c r="I118" s="485">
        <f t="shared" si="167"/>
        <v>0</v>
      </c>
      <c r="J118" s="485">
        <f t="shared" si="167"/>
        <v>0</v>
      </c>
      <c r="K118" s="485">
        <f t="shared" si="167"/>
        <v>0</v>
      </c>
      <c r="L118" s="485">
        <f t="shared" si="167"/>
        <v>0</v>
      </c>
      <c r="M118" s="485">
        <f t="shared" si="167"/>
        <v>0</v>
      </c>
      <c r="N118" s="485">
        <f t="shared" si="167"/>
        <v>0</v>
      </c>
      <c r="O118" s="485">
        <f t="shared" si="167"/>
        <v>0</v>
      </c>
      <c r="P118" s="485">
        <f t="shared" si="167"/>
        <v>0</v>
      </c>
      <c r="Q118" s="485">
        <f t="shared" si="167"/>
        <v>0</v>
      </c>
      <c r="R118" s="485">
        <f t="shared" si="167"/>
        <v>0</v>
      </c>
      <c r="S118" s="485">
        <f t="shared" si="167"/>
        <v>0</v>
      </c>
      <c r="T118" s="485">
        <f t="shared" si="167"/>
        <v>0</v>
      </c>
      <c r="U118" s="485">
        <f t="shared" si="167"/>
        <v>0</v>
      </c>
      <c r="V118" s="485">
        <f t="shared" si="167"/>
        <v>0</v>
      </c>
      <c r="W118" s="485">
        <f t="shared" ref="W118:X118" si="168">SUM(W116:W117)</f>
        <v>0</v>
      </c>
      <c r="X118" s="485">
        <f t="shared" si="168"/>
        <v>0</v>
      </c>
      <c r="Y118" s="485">
        <f t="shared" ref="Y118:Z118" si="169">SUM(Y116:Y117)</f>
        <v>0</v>
      </c>
      <c r="Z118" s="485">
        <f t="shared" si="169"/>
        <v>0</v>
      </c>
      <c r="AA118" s="204">
        <v>0</v>
      </c>
      <c r="AB118" s="204">
        <v>0</v>
      </c>
      <c r="AD118" s="8" t="str">
        <f t="shared" si="166"/>
        <v/>
      </c>
    </row>
    <row r="119" spans="1:33" ht="12" customHeight="1">
      <c r="B119" s="149" t="s">
        <v>580</v>
      </c>
      <c r="C119" s="204">
        <v>0</v>
      </c>
      <c r="D119" s="204">
        <v>0</v>
      </c>
      <c r="E119" s="204">
        <v>0</v>
      </c>
      <c r="F119" s="204">
        <v>0</v>
      </c>
      <c r="G119" s="204">
        <v>0</v>
      </c>
      <c r="H119" s="204">
        <v>0</v>
      </c>
      <c r="I119" s="204">
        <v>0</v>
      </c>
      <c r="J119" s="204">
        <v>0</v>
      </c>
      <c r="K119" s="204">
        <v>0</v>
      </c>
      <c r="L119" s="204">
        <v>0</v>
      </c>
      <c r="M119" s="204">
        <v>0</v>
      </c>
      <c r="N119" s="204">
        <v>0</v>
      </c>
      <c r="O119" s="204">
        <v>0</v>
      </c>
      <c r="P119" s="204">
        <v>0</v>
      </c>
      <c r="Q119" s="204">
        <v>0</v>
      </c>
      <c r="R119" s="204">
        <v>0</v>
      </c>
      <c r="S119" s="204">
        <v>0</v>
      </c>
      <c r="T119" s="204">
        <v>0</v>
      </c>
      <c r="U119" s="204">
        <v>0</v>
      </c>
      <c r="V119" s="204">
        <v>0</v>
      </c>
      <c r="W119" s="204">
        <v>0</v>
      </c>
      <c r="X119" s="204">
        <v>0</v>
      </c>
      <c r="Y119" s="204">
        <v>0</v>
      </c>
      <c r="Z119" s="204">
        <v>0</v>
      </c>
      <c r="AA119" s="204">
        <v>0</v>
      </c>
      <c r="AB119" s="204">
        <v>0</v>
      </c>
      <c r="AD119" s="150" t="str">
        <f t="shared" si="166"/>
        <v/>
      </c>
    </row>
    <row r="120" spans="1:33" ht="12" customHeight="1">
      <c r="B120" s="149" t="s">
        <v>581</v>
      </c>
      <c r="C120" s="204">
        <v>0</v>
      </c>
      <c r="D120" s="204">
        <v>0</v>
      </c>
      <c r="E120" s="204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0</v>
      </c>
      <c r="P120" s="204">
        <v>0</v>
      </c>
      <c r="Q120" s="204">
        <v>0</v>
      </c>
      <c r="R120" s="204">
        <v>0</v>
      </c>
      <c r="S120" s="204">
        <v>0</v>
      </c>
      <c r="T120" s="204">
        <v>0</v>
      </c>
      <c r="U120" s="204">
        <v>0</v>
      </c>
      <c r="V120" s="204">
        <v>0</v>
      </c>
      <c r="W120" s="204">
        <v>0</v>
      </c>
      <c r="X120" s="204">
        <v>0</v>
      </c>
      <c r="Y120" s="204">
        <v>0</v>
      </c>
      <c r="Z120" s="204">
        <v>0</v>
      </c>
      <c r="AA120" s="204">
        <v>0</v>
      </c>
      <c r="AB120" s="204">
        <v>0</v>
      </c>
      <c r="AD120" s="150" t="str">
        <f t="shared" si="166"/>
        <v/>
      </c>
    </row>
    <row r="121" spans="1:33" ht="12" customHeight="1">
      <c r="B121" s="149" t="s">
        <v>582</v>
      </c>
      <c r="C121" s="204">
        <v>0</v>
      </c>
      <c r="D121" s="204">
        <v>0</v>
      </c>
      <c r="E121" s="204">
        <v>0</v>
      </c>
      <c r="F121" s="204">
        <v>0</v>
      </c>
      <c r="G121" s="204">
        <v>0</v>
      </c>
      <c r="H121" s="204">
        <v>0</v>
      </c>
      <c r="I121" s="204">
        <v>0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>
        <v>0</v>
      </c>
      <c r="Q121" s="204">
        <v>0</v>
      </c>
      <c r="R121" s="204">
        <v>0</v>
      </c>
      <c r="S121" s="204">
        <v>0</v>
      </c>
      <c r="T121" s="204">
        <v>0</v>
      </c>
      <c r="U121" s="204">
        <v>0</v>
      </c>
      <c r="V121" s="204">
        <v>0</v>
      </c>
      <c r="W121" s="204">
        <v>0</v>
      </c>
      <c r="X121" s="204">
        <v>0</v>
      </c>
      <c r="Y121" s="204">
        <v>0</v>
      </c>
      <c r="Z121" s="204">
        <v>0</v>
      </c>
      <c r="AA121" s="204">
        <v>0</v>
      </c>
      <c r="AB121" s="204">
        <v>0</v>
      </c>
      <c r="AD121" s="143" t="str">
        <f t="shared" si="166"/>
        <v/>
      </c>
    </row>
    <row r="122" spans="1:33" ht="12" customHeight="1">
      <c r="B122" s="151" t="s">
        <v>583</v>
      </c>
      <c r="C122" s="486">
        <f t="shared" ref="C122:N122" si="170">SUM(C118:C121)</f>
        <v>0</v>
      </c>
      <c r="D122" s="486">
        <f t="shared" si="170"/>
        <v>0</v>
      </c>
      <c r="E122" s="486">
        <f t="shared" si="170"/>
        <v>0</v>
      </c>
      <c r="F122" s="486">
        <f t="shared" si="170"/>
        <v>0</v>
      </c>
      <c r="G122" s="486">
        <f t="shared" si="170"/>
        <v>0</v>
      </c>
      <c r="H122" s="486">
        <f t="shared" si="170"/>
        <v>0</v>
      </c>
      <c r="I122" s="486">
        <f t="shared" si="170"/>
        <v>0</v>
      </c>
      <c r="J122" s="486">
        <f t="shared" si="170"/>
        <v>0</v>
      </c>
      <c r="K122" s="486">
        <f t="shared" si="170"/>
        <v>0</v>
      </c>
      <c r="L122" s="486">
        <f t="shared" si="170"/>
        <v>0</v>
      </c>
      <c r="M122" s="486">
        <f t="shared" si="170"/>
        <v>0</v>
      </c>
      <c r="N122" s="486">
        <f t="shared" si="170"/>
        <v>0</v>
      </c>
      <c r="O122" s="486">
        <f>SUM(O118:O121)</f>
        <v>0</v>
      </c>
      <c r="P122" s="486">
        <f>SUM(P118:P121)</f>
        <v>0</v>
      </c>
      <c r="Q122" s="486">
        <f t="shared" ref="Q122:W122" si="171">SUM(Q118:Q121)</f>
        <v>0</v>
      </c>
      <c r="R122" s="486">
        <f t="shared" si="171"/>
        <v>0</v>
      </c>
      <c r="S122" s="486">
        <f t="shared" si="171"/>
        <v>0</v>
      </c>
      <c r="T122" s="486">
        <f t="shared" si="171"/>
        <v>0</v>
      </c>
      <c r="U122" s="486">
        <f t="shared" si="171"/>
        <v>0</v>
      </c>
      <c r="V122" s="486">
        <f t="shared" si="171"/>
        <v>0</v>
      </c>
      <c r="W122" s="486">
        <f t="shared" si="171"/>
        <v>0</v>
      </c>
      <c r="X122" s="486">
        <f t="shared" ref="X122:Y122" si="172">SUM(X118:X121)</f>
        <v>0</v>
      </c>
      <c r="Y122" s="486">
        <f t="shared" si="172"/>
        <v>0</v>
      </c>
      <c r="Z122" s="486">
        <f t="shared" ref="Z122:AB122" si="173">SUM(Z118:Z121)</f>
        <v>0</v>
      </c>
      <c r="AA122" s="486">
        <f t="shared" si="173"/>
        <v>0</v>
      </c>
      <c r="AB122" s="486">
        <f t="shared" si="173"/>
        <v>0</v>
      </c>
      <c r="AD122" s="8" t="str">
        <f t="shared" si="166"/>
        <v/>
      </c>
    </row>
    <row r="123" spans="1:33" ht="12" customHeight="1">
      <c r="K123" s="4"/>
      <c r="P123" s="487"/>
      <c r="Q123" s="487"/>
      <c r="R123" s="487"/>
      <c r="S123" s="487"/>
      <c r="T123" s="487"/>
      <c r="U123" s="487"/>
      <c r="V123" s="487"/>
      <c r="W123" s="487"/>
      <c r="X123" s="487"/>
      <c r="Y123" s="487"/>
      <c r="Z123" s="487"/>
      <c r="AA123" s="487"/>
      <c r="AB123" s="487"/>
      <c r="AD123" s="142" t="str">
        <f t="shared" si="166"/>
        <v/>
      </c>
    </row>
    <row r="124" spans="1:33" s="153" customFormat="1" ht="12" customHeight="1">
      <c r="A124" s="223" t="s">
        <v>142</v>
      </c>
      <c r="B124" s="205" t="s">
        <v>584</v>
      </c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5"/>
      <c r="O124" s="155"/>
      <c r="P124" s="488"/>
      <c r="Q124" s="488"/>
      <c r="R124" s="488"/>
      <c r="S124" s="488"/>
      <c r="T124" s="488"/>
      <c r="U124" s="488"/>
      <c r="V124" s="488"/>
      <c r="W124" s="488"/>
      <c r="X124" s="488"/>
      <c r="Y124" s="488"/>
      <c r="Z124" s="488"/>
      <c r="AA124" s="488"/>
      <c r="AB124" s="488"/>
      <c r="AC124" s="156"/>
      <c r="AD124" s="157" t="str">
        <f t="shared" si="166"/>
        <v/>
      </c>
      <c r="AE124" s="152"/>
      <c r="AF124" s="881"/>
      <c r="AG124" s="881"/>
    </row>
    <row r="125" spans="1:33" ht="12" customHeight="1">
      <c r="B125" s="149" t="s">
        <v>585</v>
      </c>
      <c r="C125" s="204">
        <v>0</v>
      </c>
      <c r="D125" s="204">
        <v>0</v>
      </c>
      <c r="E125" s="204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4">
        <v>0</v>
      </c>
      <c r="Q125" s="204">
        <v>0</v>
      </c>
      <c r="R125" s="204">
        <v>0</v>
      </c>
      <c r="S125" s="204">
        <v>0</v>
      </c>
      <c r="T125" s="204">
        <v>0</v>
      </c>
      <c r="U125" s="204">
        <v>0</v>
      </c>
      <c r="V125" s="204">
        <v>0</v>
      </c>
      <c r="W125" s="204">
        <v>0</v>
      </c>
      <c r="X125" s="204">
        <v>0</v>
      </c>
      <c r="Y125" s="204">
        <v>0</v>
      </c>
      <c r="Z125" s="204">
        <v>0</v>
      </c>
      <c r="AA125" s="204">
        <v>0</v>
      </c>
      <c r="AB125" s="204">
        <v>0</v>
      </c>
      <c r="AD125" s="8" t="str">
        <f t="shared" si="166"/>
        <v/>
      </c>
    </row>
    <row r="126" spans="1:33" ht="12" customHeight="1" thickBot="1">
      <c r="B126" s="837" t="s">
        <v>586</v>
      </c>
      <c r="C126" s="838">
        <f t="shared" ref="C126" si="174">IF(C125&gt;0,C125-C118,0)</f>
        <v>0</v>
      </c>
      <c r="D126" s="838">
        <f t="shared" ref="D126" si="175">IF(D125&gt;0,D125-D118,0)</f>
        <v>0</v>
      </c>
      <c r="E126" s="838">
        <f t="shared" ref="E126" si="176">IF(E125&gt;0,E125-E118,0)</f>
        <v>0</v>
      </c>
      <c r="F126" s="838">
        <f t="shared" ref="F126" si="177">IF(F125&gt;0,F125-F118,0)</f>
        <v>0</v>
      </c>
      <c r="G126" s="838">
        <f t="shared" ref="G126" si="178">IF(G125&gt;0,G125-G118,0)</f>
        <v>0</v>
      </c>
      <c r="H126" s="838">
        <f t="shared" ref="H126" si="179">IF(H125&gt;0,H125-H118,0)</f>
        <v>0</v>
      </c>
      <c r="I126" s="838">
        <f t="shared" ref="I126" si="180">IF(I125&gt;0,I125-I118,0)</f>
        <v>0</v>
      </c>
      <c r="J126" s="838">
        <f t="shared" ref="J126" si="181">IF(J125&gt;0,J125-J118,0)</f>
        <v>0</v>
      </c>
      <c r="K126" s="838">
        <f t="shared" ref="K126" si="182">IF(K125&gt;0,K125-K118,0)</f>
        <v>0</v>
      </c>
      <c r="L126" s="838">
        <f t="shared" ref="L126" si="183">IF(L125&gt;0,L125-L118,0)</f>
        <v>0</v>
      </c>
      <c r="M126" s="838">
        <f t="shared" ref="M126" si="184">IF(M125&gt;0,M125-M118,0)</f>
        <v>0</v>
      </c>
      <c r="N126" s="838">
        <f t="shared" ref="N126" si="185">IF(N125&gt;0,N125-N118,0)</f>
        <v>0</v>
      </c>
      <c r="O126" s="838">
        <f t="shared" ref="O126" si="186">IF(O125&gt;0,O125-O118,0)</f>
        <v>0</v>
      </c>
      <c r="P126" s="838">
        <f t="shared" ref="P126" si="187">IF(P125&gt;0,P125-P118,0)</f>
        <v>0</v>
      </c>
      <c r="Q126" s="838">
        <f t="shared" ref="Q126" si="188">IF(Q125&gt;0,Q125-Q118,0)</f>
        <v>0</v>
      </c>
      <c r="R126" s="838">
        <f t="shared" ref="R126" si="189">IF(R125&gt;0,R125-R118,0)</f>
        <v>0</v>
      </c>
      <c r="S126" s="838">
        <f t="shared" ref="S126" si="190">IF(S125&gt;0,S125-S118,0)</f>
        <v>0</v>
      </c>
      <c r="T126" s="838">
        <f t="shared" ref="T126" si="191">IF(T125&gt;0,T125-T118,0)</f>
        <v>0</v>
      </c>
      <c r="U126" s="838">
        <f t="shared" ref="U126" si="192">IF(U125&gt;0,U125-U118,0)</f>
        <v>0</v>
      </c>
      <c r="V126" s="838">
        <f t="shared" ref="V126" si="193">IF(V125&gt;0,V125-V118,0)</f>
        <v>0</v>
      </c>
      <c r="W126" s="838">
        <f t="shared" ref="W126:X126" si="194">IF(W125&gt;0,W125-W118,0)</f>
        <v>0</v>
      </c>
      <c r="X126" s="838">
        <f t="shared" si="194"/>
        <v>0</v>
      </c>
      <c r="Y126" s="838">
        <f t="shared" ref="Y126:Z126" si="195">IF(Y125&gt;0,Y125-Y118,0)</f>
        <v>0</v>
      </c>
      <c r="Z126" s="838">
        <f t="shared" si="195"/>
        <v>0</v>
      </c>
      <c r="AA126" s="838">
        <f t="shared" ref="AA126:AB126" si="196">IF(AA125&gt;0,AA125-AA118,0)</f>
        <v>0</v>
      </c>
      <c r="AB126" s="838">
        <f t="shared" si="196"/>
        <v>0</v>
      </c>
      <c r="AD126" s="8" t="str">
        <f t="shared" si="166"/>
        <v/>
      </c>
    </row>
    <row r="127" spans="1:33" s="49" customFormat="1" ht="12" customHeight="1" thickTop="1">
      <c r="A127" s="206"/>
      <c r="B127" s="831" t="s">
        <v>390</v>
      </c>
      <c r="C127" s="832" t="str">
        <f t="shared" ref="C127:W127" si="197">IFERROR(C126/C118,"")</f>
        <v/>
      </c>
      <c r="D127" s="832" t="str">
        <f t="shared" si="197"/>
        <v/>
      </c>
      <c r="E127" s="832" t="str">
        <f t="shared" si="197"/>
        <v/>
      </c>
      <c r="F127" s="832" t="str">
        <f t="shared" si="197"/>
        <v/>
      </c>
      <c r="G127" s="832" t="str">
        <f t="shared" si="197"/>
        <v/>
      </c>
      <c r="H127" s="832" t="str">
        <f t="shared" si="197"/>
        <v/>
      </c>
      <c r="I127" s="832" t="str">
        <f t="shared" si="197"/>
        <v/>
      </c>
      <c r="J127" s="832" t="str">
        <f t="shared" si="197"/>
        <v/>
      </c>
      <c r="K127" s="832" t="str">
        <f t="shared" si="197"/>
        <v/>
      </c>
      <c r="L127" s="832" t="str">
        <f t="shared" si="197"/>
        <v/>
      </c>
      <c r="M127" s="832" t="str">
        <f t="shared" si="197"/>
        <v/>
      </c>
      <c r="N127" s="832" t="str">
        <f t="shared" si="197"/>
        <v/>
      </c>
      <c r="O127" s="832" t="str">
        <f t="shared" si="197"/>
        <v/>
      </c>
      <c r="P127" s="832" t="str">
        <f t="shared" si="197"/>
        <v/>
      </c>
      <c r="Q127" s="832" t="str">
        <f t="shared" si="197"/>
        <v/>
      </c>
      <c r="R127" s="832" t="str">
        <f t="shared" si="197"/>
        <v/>
      </c>
      <c r="S127" s="832" t="str">
        <f t="shared" si="197"/>
        <v/>
      </c>
      <c r="T127" s="832" t="str">
        <f t="shared" si="197"/>
        <v/>
      </c>
      <c r="U127" s="832" t="str">
        <f t="shared" si="197"/>
        <v/>
      </c>
      <c r="V127" s="832" t="str">
        <f t="shared" si="197"/>
        <v/>
      </c>
      <c r="W127" s="832" t="str">
        <f t="shared" si="197"/>
        <v/>
      </c>
      <c r="X127" s="832" t="str">
        <f t="shared" ref="X127:Y127" si="198">IFERROR(X126/X118,"")</f>
        <v/>
      </c>
      <c r="Y127" s="832" t="str">
        <f t="shared" si="198"/>
        <v/>
      </c>
      <c r="Z127" s="832" t="str">
        <f t="shared" ref="Z127:AB127" si="199">IFERROR(Z126/Z118,"")</f>
        <v/>
      </c>
      <c r="AA127" s="832" t="str">
        <f t="shared" si="199"/>
        <v/>
      </c>
      <c r="AB127" s="832" t="str">
        <f t="shared" si="199"/>
        <v/>
      </c>
      <c r="AC127" s="76"/>
      <c r="AF127" s="206"/>
      <c r="AG127" s="206"/>
    </row>
    <row r="128" spans="1:33" s="160" customFormat="1" ht="12" customHeight="1">
      <c r="A128" s="225"/>
      <c r="B128" s="161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487"/>
      <c r="Q128" s="487"/>
      <c r="R128" s="487"/>
      <c r="S128" s="487"/>
      <c r="T128" s="487"/>
      <c r="U128" s="487"/>
      <c r="V128" s="487"/>
      <c r="W128" s="487"/>
      <c r="X128" s="487"/>
      <c r="Y128" s="487"/>
      <c r="Z128" s="487"/>
      <c r="AA128" s="487"/>
      <c r="AB128" s="487"/>
      <c r="AC128" s="13"/>
      <c r="AD128" s="143" t="str">
        <f t="shared" ref="AD128:AD137" si="200">IFERROR(AVERAGE((M128-L128)/L128,(N128-M128)/M128,(O128-N128)/N128,(P128-O128)/O128,(Q128-P128)/P128),"")</f>
        <v/>
      </c>
      <c r="AE128" s="143"/>
      <c r="AF128" s="884"/>
      <c r="AG128" s="225"/>
    </row>
    <row r="129" spans="1:33" s="11" customFormat="1" ht="12" customHeight="1">
      <c r="A129" s="230" t="s">
        <v>217</v>
      </c>
      <c r="B129" s="145" t="s">
        <v>587</v>
      </c>
      <c r="C129" s="13"/>
      <c r="D129" s="13"/>
      <c r="E129" s="13"/>
      <c r="F129" s="13"/>
      <c r="G129" s="13"/>
      <c r="H129" s="13"/>
      <c r="I129" s="13"/>
      <c r="J129" s="13"/>
      <c r="K129" s="154"/>
      <c r="L129" s="154"/>
      <c r="M129" s="154"/>
      <c r="N129" s="144"/>
      <c r="O129" s="144"/>
      <c r="P129" s="489"/>
      <c r="Q129" s="489"/>
      <c r="R129" s="489"/>
      <c r="S129" s="489"/>
      <c r="T129" s="489"/>
      <c r="U129" s="489"/>
      <c r="V129" s="489"/>
      <c r="W129" s="489"/>
      <c r="X129" s="489"/>
      <c r="Y129" s="489"/>
      <c r="Z129" s="489"/>
      <c r="AA129" s="489"/>
      <c r="AB129" s="489"/>
      <c r="AC129" s="13"/>
      <c r="AD129" s="142" t="str">
        <f t="shared" si="200"/>
        <v/>
      </c>
      <c r="AE129" s="142"/>
      <c r="AF129" s="900"/>
      <c r="AG129" s="900"/>
    </row>
    <row r="130" spans="1:33" ht="12" customHeight="1">
      <c r="B130" s="37" t="s">
        <v>27</v>
      </c>
      <c r="C130" s="204">
        <v>0</v>
      </c>
      <c r="D130" s="204">
        <v>0</v>
      </c>
      <c r="E130" s="204">
        <v>0</v>
      </c>
      <c r="F130" s="204">
        <v>0</v>
      </c>
      <c r="G130" s="204">
        <v>0</v>
      </c>
      <c r="H130" s="204">
        <v>0</v>
      </c>
      <c r="I130" s="204">
        <v>0</v>
      </c>
      <c r="J130" s="204">
        <v>0</v>
      </c>
      <c r="K130" s="204">
        <v>0</v>
      </c>
      <c r="L130" s="204">
        <v>0</v>
      </c>
      <c r="M130" s="204">
        <v>0</v>
      </c>
      <c r="N130" s="204">
        <v>0</v>
      </c>
      <c r="O130" s="204">
        <v>0</v>
      </c>
      <c r="P130" s="204">
        <v>0</v>
      </c>
      <c r="Q130" s="169">
        <f>+P130</f>
        <v>0</v>
      </c>
      <c r="R130" s="169">
        <v>0</v>
      </c>
      <c r="S130" s="169">
        <f t="shared" ref="S130" si="201">+R130</f>
        <v>0</v>
      </c>
      <c r="T130" s="169">
        <f t="shared" ref="T130" si="202">+S130</f>
        <v>0</v>
      </c>
      <c r="U130" s="169">
        <f t="shared" ref="U130" si="203">+T130</f>
        <v>0</v>
      </c>
      <c r="V130" s="169">
        <f t="shared" ref="V130" si="204">+U130</f>
        <v>0</v>
      </c>
      <c r="W130" s="169">
        <f t="shared" ref="W130:Z130" si="205">+V130</f>
        <v>0</v>
      </c>
      <c r="X130" s="169">
        <f t="shared" si="205"/>
        <v>0</v>
      </c>
      <c r="Y130" s="169">
        <f t="shared" si="205"/>
        <v>0</v>
      </c>
      <c r="Z130" s="169">
        <f t="shared" si="205"/>
        <v>0</v>
      </c>
      <c r="AA130" s="169">
        <f t="shared" ref="AA130" si="206">+Z130</f>
        <v>0</v>
      </c>
      <c r="AB130" s="169">
        <f t="shared" ref="AB130" si="207">+AA130</f>
        <v>0</v>
      </c>
      <c r="AD130" s="8" t="str">
        <f t="shared" si="200"/>
        <v/>
      </c>
      <c r="AE130" s="779" t="s">
        <v>474</v>
      </c>
    </row>
    <row r="131" spans="1:33" ht="12" customHeight="1">
      <c r="B131" s="37" t="s">
        <v>32</v>
      </c>
      <c r="C131" s="204">
        <v>0</v>
      </c>
      <c r="D131" s="204">
        <v>0</v>
      </c>
      <c r="E131" s="204">
        <v>0</v>
      </c>
      <c r="F131" s="204">
        <v>0</v>
      </c>
      <c r="G131" s="204">
        <v>0</v>
      </c>
      <c r="H131" s="204">
        <v>0</v>
      </c>
      <c r="I131" s="204">
        <v>0</v>
      </c>
      <c r="J131" s="204">
        <v>0</v>
      </c>
      <c r="K131" s="204">
        <v>0</v>
      </c>
      <c r="L131" s="204">
        <v>0</v>
      </c>
      <c r="M131" s="204">
        <v>0</v>
      </c>
      <c r="N131" s="204">
        <v>0</v>
      </c>
      <c r="O131" s="204">
        <v>0</v>
      </c>
      <c r="P131" s="204">
        <v>0</v>
      </c>
      <c r="Q131" s="204">
        <f>P131*(1+$AE$23)</f>
        <v>0</v>
      </c>
      <c r="R131" s="169">
        <v>0</v>
      </c>
      <c r="S131" s="169">
        <f t="shared" ref="S131:Z131" si="208">ROUND(R131*(1+$AE131),0)</f>
        <v>0</v>
      </c>
      <c r="T131" s="169">
        <f t="shared" si="208"/>
        <v>0</v>
      </c>
      <c r="U131" s="169">
        <f t="shared" si="208"/>
        <v>0</v>
      </c>
      <c r="V131" s="169">
        <f t="shared" si="208"/>
        <v>0</v>
      </c>
      <c r="W131" s="169">
        <f t="shared" si="208"/>
        <v>0</v>
      </c>
      <c r="X131" s="169">
        <f t="shared" si="208"/>
        <v>0</v>
      </c>
      <c r="Y131" s="169">
        <f t="shared" si="208"/>
        <v>0</v>
      </c>
      <c r="Z131" s="169">
        <f t="shared" si="208"/>
        <v>0</v>
      </c>
      <c r="AA131" s="169">
        <f t="shared" ref="AA131:AB131" si="209">ROUND(Z131*(1+$AE131),0)</f>
        <v>0</v>
      </c>
      <c r="AB131" s="169">
        <f t="shared" si="209"/>
        <v>0</v>
      </c>
      <c r="AD131" s="8" t="str">
        <f t="shared" si="200"/>
        <v/>
      </c>
      <c r="AE131" s="163">
        <v>0</v>
      </c>
    </row>
    <row r="132" spans="1:33" ht="12" customHeight="1">
      <c r="B132" s="37" t="s">
        <v>588</v>
      </c>
      <c r="C132" s="204">
        <v>0</v>
      </c>
      <c r="D132" s="204">
        <v>0</v>
      </c>
      <c r="E132" s="204">
        <v>0</v>
      </c>
      <c r="F132" s="204">
        <v>0</v>
      </c>
      <c r="G132" s="204">
        <v>0</v>
      </c>
      <c r="H132" s="204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f>+Debt!N141+Debt!N148</f>
        <v>0</v>
      </c>
      <c r="O132" s="204">
        <f>+Debt!O141+Debt!O148</f>
        <v>0</v>
      </c>
      <c r="P132" s="204">
        <f>+Debt!P141+Debt!P148</f>
        <v>0</v>
      </c>
      <c r="Q132" s="204">
        <f>+Debt!Q141+Debt!Q148</f>
        <v>0</v>
      </c>
      <c r="R132" s="204">
        <f>+Debt!R141+Debt!R148</f>
        <v>0</v>
      </c>
      <c r="S132" s="204">
        <f>+Debt!S141+Debt!S148</f>
        <v>0</v>
      </c>
      <c r="T132" s="204">
        <f>+Debt!T141+Debt!T148</f>
        <v>0</v>
      </c>
      <c r="U132" s="204">
        <f>+Debt!U141+Debt!U148</f>
        <v>0</v>
      </c>
      <c r="V132" s="204">
        <f>+Debt!V141+Debt!V148</f>
        <v>0</v>
      </c>
      <c r="W132" s="204">
        <f>+Debt!W141+Debt!W148</f>
        <v>0</v>
      </c>
      <c r="X132" s="204">
        <f>+Debt!X141+Debt!X148</f>
        <v>0</v>
      </c>
      <c r="Y132" s="204">
        <f>+Debt!Y141+Debt!Y148</f>
        <v>0</v>
      </c>
      <c r="Z132" s="204">
        <f>+Debt!AA141+Debt!AA148</f>
        <v>0</v>
      </c>
      <c r="AA132" s="204">
        <f>+Debt!AB141+Debt!AB148</f>
        <v>0</v>
      </c>
      <c r="AB132" s="204">
        <f>+Debt!AC141+Debt!AC148</f>
        <v>0</v>
      </c>
      <c r="AD132" s="8" t="str">
        <f t="shared" si="200"/>
        <v/>
      </c>
      <c r="AE132" s="785" t="s">
        <v>262</v>
      </c>
      <c r="AG132" s="221" t="s">
        <v>589</v>
      </c>
    </row>
    <row r="133" spans="1:33" ht="12" customHeight="1">
      <c r="B133" s="756" t="s">
        <v>590</v>
      </c>
      <c r="C133" s="204">
        <v>0</v>
      </c>
      <c r="D133" s="204">
        <f>+CIP!D142</f>
        <v>0</v>
      </c>
      <c r="E133" s="204">
        <f>+CIP!E142</f>
        <v>0</v>
      </c>
      <c r="F133" s="204">
        <f>+CIP!F142</f>
        <v>0</v>
      </c>
      <c r="G133" s="204">
        <f>+CIP!G142</f>
        <v>0</v>
      </c>
      <c r="H133" s="204">
        <f>+CIP!H142</f>
        <v>0</v>
      </c>
      <c r="I133" s="204">
        <f>+CIP!I142</f>
        <v>0</v>
      </c>
      <c r="J133" s="204">
        <f>+CIP!J142</f>
        <v>0</v>
      </c>
      <c r="K133" s="204">
        <f>+CIP!K142</f>
        <v>0</v>
      </c>
      <c r="L133" s="204">
        <f>+CIP!L142</f>
        <v>0</v>
      </c>
      <c r="M133" s="204">
        <f>+CIP!M142</f>
        <v>0</v>
      </c>
      <c r="N133" s="204">
        <f>+CIP!N142</f>
        <v>0</v>
      </c>
      <c r="O133" s="204">
        <f>+CIP!O142</f>
        <v>0</v>
      </c>
      <c r="P133" s="204">
        <f>+CIP!P142</f>
        <v>0</v>
      </c>
      <c r="Q133" s="204">
        <f>+CIP!Q142</f>
        <v>0</v>
      </c>
      <c r="R133" s="204">
        <f>+CIP!R142</f>
        <v>0</v>
      </c>
      <c r="S133" s="204">
        <f>+CIP!S142</f>
        <v>0</v>
      </c>
      <c r="T133" s="204">
        <f>+CIP!T142</f>
        <v>0</v>
      </c>
      <c r="U133" s="204">
        <f>+CIP!U142</f>
        <v>0</v>
      </c>
      <c r="V133" s="204">
        <f>+CIP!V142</f>
        <v>0</v>
      </c>
      <c r="W133" s="204">
        <f>+CIP!W142</f>
        <v>0</v>
      </c>
      <c r="X133" s="204">
        <f>+CIP!X142</f>
        <v>0</v>
      </c>
      <c r="Y133" s="204">
        <f>+CIP!Y142</f>
        <v>0</v>
      </c>
      <c r="Z133" s="204">
        <f>+CIP!AA142</f>
        <v>0</v>
      </c>
      <c r="AA133" s="204">
        <f>+CIP!AB142</f>
        <v>0</v>
      </c>
      <c r="AB133" s="204">
        <f>+CIP!AC142</f>
        <v>0</v>
      </c>
      <c r="AD133" s="143" t="str">
        <f t="shared" si="200"/>
        <v/>
      </c>
      <c r="AE133" s="783" t="s">
        <v>555</v>
      </c>
      <c r="AG133" s="221" t="s">
        <v>591</v>
      </c>
    </row>
    <row r="134" spans="1:33" ht="12" customHeight="1">
      <c r="B134" s="37" t="s">
        <v>153</v>
      </c>
      <c r="C134" s="204">
        <v>0</v>
      </c>
      <c r="D134" s="204">
        <v>0</v>
      </c>
      <c r="E134" s="204">
        <v>0</v>
      </c>
      <c r="F134" s="204">
        <v>0</v>
      </c>
      <c r="G134" s="204">
        <v>0</v>
      </c>
      <c r="H134" s="204">
        <v>0</v>
      </c>
      <c r="I134" s="204">
        <v>0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4">
        <v>0</v>
      </c>
      <c r="Q134" s="204">
        <v>0</v>
      </c>
      <c r="R134" s="204">
        <v>0</v>
      </c>
      <c r="S134" s="204">
        <v>0</v>
      </c>
      <c r="T134" s="204">
        <v>0</v>
      </c>
      <c r="U134" s="204">
        <v>0</v>
      </c>
      <c r="V134" s="204">
        <v>0</v>
      </c>
      <c r="W134" s="204">
        <v>0</v>
      </c>
      <c r="X134" s="204">
        <v>0</v>
      </c>
      <c r="Y134" s="204">
        <v>0</v>
      </c>
      <c r="Z134" s="204">
        <v>0</v>
      </c>
      <c r="AA134" s="204">
        <v>0</v>
      </c>
      <c r="AB134" s="204">
        <v>0</v>
      </c>
      <c r="AD134" s="143" t="str">
        <f t="shared" si="200"/>
        <v/>
      </c>
      <c r="AE134" s="4"/>
    </row>
    <row r="135" spans="1:33" ht="12" customHeight="1">
      <c r="B135" s="37" t="s">
        <v>592</v>
      </c>
      <c r="C135" s="204">
        <v>0</v>
      </c>
      <c r="D135" s="204">
        <v>0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4">
        <v>0</v>
      </c>
      <c r="Q135" s="204">
        <v>0</v>
      </c>
      <c r="R135" s="204">
        <v>0</v>
      </c>
      <c r="S135" s="204">
        <v>0</v>
      </c>
      <c r="T135" s="204">
        <v>0</v>
      </c>
      <c r="U135" s="204">
        <v>0</v>
      </c>
      <c r="V135" s="204">
        <v>0</v>
      </c>
      <c r="W135" s="204">
        <v>0</v>
      </c>
      <c r="X135" s="204">
        <v>0</v>
      </c>
      <c r="Y135" s="204">
        <v>0</v>
      </c>
      <c r="Z135" s="204">
        <v>0</v>
      </c>
      <c r="AA135" s="204">
        <v>0</v>
      </c>
      <c r="AB135" s="204">
        <v>0</v>
      </c>
      <c r="AD135" s="143" t="str">
        <f t="shared" si="200"/>
        <v/>
      </c>
      <c r="AE135" s="4"/>
    </row>
    <row r="136" spans="1:33" ht="12" customHeight="1" thickBot="1">
      <c r="B136" s="857" t="s">
        <v>593</v>
      </c>
      <c r="C136" s="858">
        <f t="shared" ref="C136:V136" si="210">SUM(C130:C135)</f>
        <v>0</v>
      </c>
      <c r="D136" s="858">
        <f t="shared" si="210"/>
        <v>0</v>
      </c>
      <c r="E136" s="858">
        <f t="shared" si="210"/>
        <v>0</v>
      </c>
      <c r="F136" s="858">
        <f t="shared" si="210"/>
        <v>0</v>
      </c>
      <c r="G136" s="858">
        <f t="shared" si="210"/>
        <v>0</v>
      </c>
      <c r="H136" s="858">
        <f t="shared" si="210"/>
        <v>0</v>
      </c>
      <c r="I136" s="858">
        <f t="shared" si="210"/>
        <v>0</v>
      </c>
      <c r="J136" s="858">
        <f t="shared" si="210"/>
        <v>0</v>
      </c>
      <c r="K136" s="858">
        <f t="shared" si="210"/>
        <v>0</v>
      </c>
      <c r="L136" s="858">
        <f t="shared" si="210"/>
        <v>0</v>
      </c>
      <c r="M136" s="858">
        <f t="shared" si="210"/>
        <v>0</v>
      </c>
      <c r="N136" s="858">
        <f t="shared" si="210"/>
        <v>0</v>
      </c>
      <c r="O136" s="858">
        <f t="shared" si="210"/>
        <v>0</v>
      </c>
      <c r="P136" s="858">
        <f t="shared" si="210"/>
        <v>0</v>
      </c>
      <c r="Q136" s="858">
        <f t="shared" si="210"/>
        <v>0</v>
      </c>
      <c r="R136" s="858">
        <f t="shared" si="210"/>
        <v>0</v>
      </c>
      <c r="S136" s="858">
        <f t="shared" si="210"/>
        <v>0</v>
      </c>
      <c r="T136" s="858">
        <f t="shared" si="210"/>
        <v>0</v>
      </c>
      <c r="U136" s="858">
        <f t="shared" si="210"/>
        <v>0</v>
      </c>
      <c r="V136" s="858">
        <f t="shared" si="210"/>
        <v>0</v>
      </c>
      <c r="W136" s="858">
        <f t="shared" ref="W136:X136" si="211">SUM(W130:W135)</f>
        <v>0</v>
      </c>
      <c r="X136" s="858">
        <f t="shared" si="211"/>
        <v>0</v>
      </c>
      <c r="Y136" s="858">
        <f t="shared" ref="Y136:Z136" si="212">SUM(Y130:Y135)</f>
        <v>0</v>
      </c>
      <c r="Z136" s="858">
        <f t="shared" si="212"/>
        <v>0</v>
      </c>
      <c r="AA136" s="858">
        <f t="shared" ref="AA136:AB136" si="213">SUM(AA130:AA135)</f>
        <v>0</v>
      </c>
      <c r="AB136" s="858">
        <f t="shared" si="213"/>
        <v>0</v>
      </c>
      <c r="AD136" s="143" t="str">
        <f t="shared" si="200"/>
        <v/>
      </c>
    </row>
    <row r="137" spans="1:33" ht="12" customHeight="1" thickTop="1">
      <c r="B137" s="859" t="s">
        <v>594</v>
      </c>
      <c r="C137" s="860">
        <v>0</v>
      </c>
      <c r="D137" s="860">
        <v>0</v>
      </c>
      <c r="E137" s="860">
        <v>0</v>
      </c>
      <c r="F137" s="860">
        <v>0</v>
      </c>
      <c r="G137" s="860">
        <v>0</v>
      </c>
      <c r="H137" s="860">
        <v>0</v>
      </c>
      <c r="I137" s="860">
        <v>0</v>
      </c>
      <c r="J137" s="860">
        <v>0</v>
      </c>
      <c r="K137" s="860">
        <v>0</v>
      </c>
      <c r="L137" s="860">
        <v>0</v>
      </c>
      <c r="M137" s="860">
        <v>0</v>
      </c>
      <c r="N137" s="860">
        <v>0</v>
      </c>
      <c r="O137" s="860">
        <v>0</v>
      </c>
      <c r="P137" s="860">
        <v>0</v>
      </c>
      <c r="Q137" s="861">
        <v>0</v>
      </c>
      <c r="R137" s="861">
        <v>0</v>
      </c>
      <c r="S137" s="861">
        <f t="shared" ref="S137:Z137" si="214">ROUND(R137*(1+$AE137),0)</f>
        <v>0</v>
      </c>
      <c r="T137" s="861">
        <f t="shared" si="214"/>
        <v>0</v>
      </c>
      <c r="U137" s="861">
        <f t="shared" si="214"/>
        <v>0</v>
      </c>
      <c r="V137" s="861">
        <f t="shared" si="214"/>
        <v>0</v>
      </c>
      <c r="W137" s="861">
        <f t="shared" si="214"/>
        <v>0</v>
      </c>
      <c r="X137" s="861">
        <f t="shared" si="214"/>
        <v>0</v>
      </c>
      <c r="Y137" s="861">
        <f t="shared" si="214"/>
        <v>0</v>
      </c>
      <c r="Z137" s="861">
        <f t="shared" si="214"/>
        <v>0</v>
      </c>
      <c r="AA137" s="861">
        <f t="shared" ref="AA137:AB137" si="215">ROUND(Z137*(1+$AE137),0)</f>
        <v>0</v>
      </c>
      <c r="AB137" s="861">
        <f t="shared" si="215"/>
        <v>0</v>
      </c>
      <c r="AD137" s="8" t="str">
        <f t="shared" si="200"/>
        <v/>
      </c>
      <c r="AE137" s="163">
        <v>0</v>
      </c>
    </row>
    <row r="138" spans="1:33" ht="12" customHeight="1">
      <c r="C138" s="864"/>
      <c r="D138" s="864"/>
      <c r="E138" s="864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726"/>
      <c r="R138" s="726"/>
      <c r="S138" s="726"/>
      <c r="T138" s="726"/>
      <c r="U138" s="726"/>
      <c r="V138" s="726"/>
      <c r="W138" s="726"/>
      <c r="X138" s="726"/>
      <c r="Y138" s="726"/>
      <c r="Z138" s="726"/>
      <c r="AA138" s="726"/>
      <c r="AB138" s="726"/>
      <c r="AC138" s="549"/>
      <c r="AD138" s="8"/>
      <c r="AE138" s="865"/>
      <c r="AF138" s="4"/>
    </row>
    <row r="139" spans="1:33" ht="12" customHeight="1" thickBot="1">
      <c r="B139" s="833" t="s">
        <v>133</v>
      </c>
      <c r="C139" s="834">
        <f t="shared" ref="C139:O139" si="216">C122-C136-C137</f>
        <v>0</v>
      </c>
      <c r="D139" s="834">
        <f t="shared" si="216"/>
        <v>0</v>
      </c>
      <c r="E139" s="834">
        <f t="shared" si="216"/>
        <v>0</v>
      </c>
      <c r="F139" s="834">
        <f t="shared" si="216"/>
        <v>0</v>
      </c>
      <c r="G139" s="834">
        <f t="shared" si="216"/>
        <v>0</v>
      </c>
      <c r="H139" s="834">
        <f t="shared" si="216"/>
        <v>0</v>
      </c>
      <c r="I139" s="834">
        <f t="shared" si="216"/>
        <v>0</v>
      </c>
      <c r="J139" s="834">
        <f t="shared" si="216"/>
        <v>0</v>
      </c>
      <c r="K139" s="834">
        <f t="shared" si="216"/>
        <v>0</v>
      </c>
      <c r="L139" s="834">
        <f t="shared" si="216"/>
        <v>0</v>
      </c>
      <c r="M139" s="834">
        <f t="shared" si="216"/>
        <v>0</v>
      </c>
      <c r="N139" s="834">
        <f t="shared" si="216"/>
        <v>0</v>
      </c>
      <c r="O139" s="834">
        <f t="shared" si="216"/>
        <v>0</v>
      </c>
      <c r="P139" s="834">
        <f>P122-P136-P137</f>
        <v>0</v>
      </c>
      <c r="Q139" s="834">
        <f t="shared" ref="Q139:W139" si="217">Q122-Q136-Q137</f>
        <v>0</v>
      </c>
      <c r="R139" s="834">
        <f t="shared" si="217"/>
        <v>0</v>
      </c>
      <c r="S139" s="834">
        <f t="shared" si="217"/>
        <v>0</v>
      </c>
      <c r="T139" s="834">
        <f t="shared" si="217"/>
        <v>0</v>
      </c>
      <c r="U139" s="834">
        <f t="shared" si="217"/>
        <v>0</v>
      </c>
      <c r="V139" s="834">
        <f t="shared" si="217"/>
        <v>0</v>
      </c>
      <c r="W139" s="834">
        <f t="shared" si="217"/>
        <v>0</v>
      </c>
      <c r="X139" s="834">
        <f t="shared" ref="X139:Y139" si="218">X122-X136-X137</f>
        <v>0</v>
      </c>
      <c r="Y139" s="834">
        <f t="shared" si="218"/>
        <v>0</v>
      </c>
      <c r="Z139" s="834">
        <f t="shared" ref="Z139:AB139" si="219">Z122-Z136-Z137</f>
        <v>0</v>
      </c>
      <c r="AA139" s="834">
        <f t="shared" si="219"/>
        <v>0</v>
      </c>
      <c r="AB139" s="834">
        <f t="shared" si="219"/>
        <v>0</v>
      </c>
    </row>
    <row r="140" spans="1:33" ht="12" customHeight="1" thickTop="1"/>
    <row r="141" spans="1:33" ht="12" customHeight="1">
      <c r="B141" s="108" t="s">
        <v>437</v>
      </c>
      <c r="C141" s="106">
        <v>2006</v>
      </c>
      <c r="D141" s="106">
        <v>2007</v>
      </c>
      <c r="E141" s="106">
        <v>2008</v>
      </c>
      <c r="F141" s="106">
        <v>2009</v>
      </c>
      <c r="G141" s="106">
        <v>2010</v>
      </c>
      <c r="H141" s="106">
        <v>2011</v>
      </c>
      <c r="I141" s="106">
        <v>2012</v>
      </c>
      <c r="J141" s="106">
        <v>2013</v>
      </c>
      <c r="K141" s="106">
        <v>2014</v>
      </c>
      <c r="L141" s="106">
        <v>2015</v>
      </c>
      <c r="M141" s="106">
        <v>2016</v>
      </c>
      <c r="N141" s="106">
        <v>2017</v>
      </c>
      <c r="O141" s="106">
        <v>2018</v>
      </c>
      <c r="P141" s="106">
        <v>2019</v>
      </c>
      <c r="Q141" s="106">
        <v>2020</v>
      </c>
      <c r="R141" s="106">
        <v>2021</v>
      </c>
      <c r="S141" s="106">
        <v>2022</v>
      </c>
      <c r="T141" s="106">
        <v>2023</v>
      </c>
      <c r="U141" s="106">
        <v>2024</v>
      </c>
      <c r="V141" s="106">
        <v>2025</v>
      </c>
      <c r="W141" s="106">
        <v>2026</v>
      </c>
      <c r="X141" s="106">
        <v>2027</v>
      </c>
      <c r="Y141" s="106">
        <v>2028</v>
      </c>
      <c r="Z141" s="106">
        <v>2029</v>
      </c>
      <c r="AA141" s="106">
        <v>2030</v>
      </c>
      <c r="AB141" s="106">
        <v>2031</v>
      </c>
    </row>
    <row r="142" spans="1:33" s="159" customFormat="1" ht="12" customHeight="1">
      <c r="A142" s="224"/>
      <c r="B142" s="158" t="s">
        <v>595</v>
      </c>
      <c r="C142" s="694">
        <v>38534</v>
      </c>
      <c r="D142" s="694">
        <v>38899</v>
      </c>
      <c r="E142" s="694">
        <v>39264</v>
      </c>
      <c r="F142" s="694">
        <v>39630</v>
      </c>
      <c r="G142" s="694">
        <v>39995</v>
      </c>
      <c r="H142" s="694">
        <v>40360</v>
      </c>
      <c r="I142" s="694">
        <v>40725</v>
      </c>
      <c r="J142" s="694">
        <v>41091</v>
      </c>
      <c r="K142" s="694">
        <v>41456</v>
      </c>
      <c r="L142" s="694">
        <v>41821</v>
      </c>
      <c r="M142" s="694">
        <v>42186</v>
      </c>
      <c r="N142" s="694" t="s">
        <v>439</v>
      </c>
      <c r="O142" s="694" t="s">
        <v>440</v>
      </c>
      <c r="P142" s="694" t="s">
        <v>441</v>
      </c>
      <c r="Q142" s="694" t="s">
        <v>442</v>
      </c>
      <c r="R142" s="694" t="s">
        <v>443</v>
      </c>
      <c r="S142" s="694" t="s">
        <v>444</v>
      </c>
      <c r="T142" s="694" t="s">
        <v>445</v>
      </c>
      <c r="U142" s="694" t="s">
        <v>446</v>
      </c>
      <c r="V142" s="693" t="s">
        <v>447</v>
      </c>
      <c r="W142" s="693" t="s">
        <v>448</v>
      </c>
      <c r="X142" s="693" t="s">
        <v>449</v>
      </c>
      <c r="Y142" s="693" t="s">
        <v>450</v>
      </c>
      <c r="Z142" s="693" t="s">
        <v>451</v>
      </c>
      <c r="AA142" s="693" t="s">
        <v>452</v>
      </c>
      <c r="AB142" s="693" t="s">
        <v>453</v>
      </c>
      <c r="AC142" s="144"/>
      <c r="AD142" s="143"/>
      <c r="AE142" s="143"/>
      <c r="AG142" s="224"/>
    </row>
    <row r="143" spans="1:33" s="160" customFormat="1" ht="12" customHeight="1">
      <c r="A143" s="225"/>
      <c r="B143" s="367" t="s">
        <v>596</v>
      </c>
      <c r="C143" s="204">
        <v>0</v>
      </c>
      <c r="D143" s="204">
        <v>0</v>
      </c>
      <c r="E143" s="204">
        <v>0</v>
      </c>
      <c r="F143" s="204">
        <v>0</v>
      </c>
      <c r="G143" s="204">
        <v>0</v>
      </c>
      <c r="H143" s="204">
        <v>0</v>
      </c>
      <c r="I143" s="204">
        <v>0</v>
      </c>
      <c r="J143" s="204">
        <v>0</v>
      </c>
      <c r="K143" s="204">
        <v>0</v>
      </c>
      <c r="L143" s="204">
        <v>0</v>
      </c>
      <c r="M143" s="204">
        <v>0</v>
      </c>
      <c r="N143" s="204">
        <v>0</v>
      </c>
      <c r="O143" s="204">
        <v>0</v>
      </c>
      <c r="P143" s="204">
        <v>0</v>
      </c>
      <c r="Q143" s="204">
        <v>0</v>
      </c>
      <c r="R143" s="204">
        <v>0</v>
      </c>
      <c r="S143" s="204">
        <v>0</v>
      </c>
      <c r="T143" s="204">
        <v>0</v>
      </c>
      <c r="U143" s="204">
        <v>0</v>
      </c>
      <c r="V143" s="204">
        <v>0</v>
      </c>
      <c r="W143" s="204">
        <v>0</v>
      </c>
      <c r="X143" s="204">
        <v>0</v>
      </c>
      <c r="Y143" s="204">
        <v>0</v>
      </c>
      <c r="Z143" s="204">
        <v>0</v>
      </c>
      <c r="AA143" s="204">
        <v>0</v>
      </c>
      <c r="AB143" s="204">
        <v>0</v>
      </c>
      <c r="AC143" s="13"/>
      <c r="AD143" s="143"/>
      <c r="AE143" s="143"/>
      <c r="AG143" s="884"/>
    </row>
    <row r="144" spans="1:33" s="160" customFormat="1" ht="12" customHeight="1">
      <c r="A144" s="225"/>
      <c r="B144" s="804" t="s">
        <v>597</v>
      </c>
      <c r="C144" s="939" t="str">
        <f>IFERROR(C143/C118,"")</f>
        <v/>
      </c>
      <c r="D144" s="939" t="str">
        <f t="shared" ref="D144:W144" si="220">IFERROR(D143/D118,"")</f>
        <v/>
      </c>
      <c r="E144" s="939" t="str">
        <f t="shared" si="220"/>
        <v/>
      </c>
      <c r="F144" s="939" t="str">
        <f t="shared" si="220"/>
        <v/>
      </c>
      <c r="G144" s="939" t="str">
        <f t="shared" si="220"/>
        <v/>
      </c>
      <c r="H144" s="939" t="str">
        <f t="shared" si="220"/>
        <v/>
      </c>
      <c r="I144" s="939" t="str">
        <f t="shared" si="220"/>
        <v/>
      </c>
      <c r="J144" s="939" t="str">
        <f t="shared" si="220"/>
        <v/>
      </c>
      <c r="K144" s="939" t="str">
        <f t="shared" si="220"/>
        <v/>
      </c>
      <c r="L144" s="939" t="str">
        <f t="shared" si="220"/>
        <v/>
      </c>
      <c r="M144" s="939" t="str">
        <f t="shared" si="220"/>
        <v/>
      </c>
      <c r="N144" s="939" t="str">
        <f t="shared" si="220"/>
        <v/>
      </c>
      <c r="O144" s="939" t="str">
        <f t="shared" si="220"/>
        <v/>
      </c>
      <c r="P144" s="939" t="str">
        <f t="shared" si="220"/>
        <v/>
      </c>
      <c r="Q144" s="939" t="str">
        <f t="shared" si="220"/>
        <v/>
      </c>
      <c r="R144" s="939" t="str">
        <f t="shared" si="220"/>
        <v/>
      </c>
      <c r="S144" s="939" t="str">
        <f t="shared" si="220"/>
        <v/>
      </c>
      <c r="T144" s="939" t="str">
        <f t="shared" si="220"/>
        <v/>
      </c>
      <c r="U144" s="939" t="str">
        <f t="shared" si="220"/>
        <v/>
      </c>
      <c r="V144" s="939" t="str">
        <f t="shared" si="220"/>
        <v/>
      </c>
      <c r="W144" s="939" t="str">
        <f t="shared" si="220"/>
        <v/>
      </c>
      <c r="X144" s="939" t="str">
        <f t="shared" ref="X144:Y144" si="221">IFERROR(X143/X118,"")</f>
        <v/>
      </c>
      <c r="Y144" s="939" t="str">
        <f t="shared" si="221"/>
        <v/>
      </c>
      <c r="Z144" s="939" t="str">
        <f t="shared" ref="Z144:AB144" si="222">IFERROR(Z143/Z118,"")</f>
        <v/>
      </c>
      <c r="AA144" s="939" t="str">
        <f t="shared" si="222"/>
        <v/>
      </c>
      <c r="AB144" s="939" t="str">
        <f t="shared" si="222"/>
        <v/>
      </c>
      <c r="AC144" s="13"/>
      <c r="AD144" s="143"/>
      <c r="AE144" s="143"/>
      <c r="AG144" s="884" t="s">
        <v>598</v>
      </c>
    </row>
    <row r="145" spans="1:33" ht="12" customHeight="1" thickBot="1">
      <c r="A145" s="943"/>
      <c r="B145" s="917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</row>
    <row r="146" spans="1:33" ht="12" customHeight="1"/>
    <row r="147" spans="1:33" ht="12" customHeight="1">
      <c r="C147" s="144" t="s">
        <v>82</v>
      </c>
      <c r="D147" s="144" t="s">
        <v>83</v>
      </c>
      <c r="E147" s="144" t="s">
        <v>84</v>
      </c>
      <c r="F147" s="144" t="s">
        <v>85</v>
      </c>
      <c r="G147" s="144" t="s">
        <v>86</v>
      </c>
      <c r="H147" s="144" t="s">
        <v>87</v>
      </c>
      <c r="I147" s="144" t="s">
        <v>88</v>
      </c>
      <c r="J147" s="144" t="s">
        <v>89</v>
      </c>
      <c r="K147" s="144" t="s">
        <v>90</v>
      </c>
      <c r="L147" s="144" t="s">
        <v>91</v>
      </c>
      <c r="M147" s="144" t="s">
        <v>92</v>
      </c>
      <c r="N147" s="144" t="s">
        <v>93</v>
      </c>
      <c r="O147" s="144" t="s">
        <v>94</v>
      </c>
      <c r="P147" s="144" t="s">
        <v>95</v>
      </c>
      <c r="Q147" s="144" t="s">
        <v>96</v>
      </c>
      <c r="R147" s="144" t="s">
        <v>97</v>
      </c>
      <c r="S147" s="144" t="s">
        <v>98</v>
      </c>
      <c r="T147" s="144" t="s">
        <v>99</v>
      </c>
      <c r="U147" s="144" t="s">
        <v>100</v>
      </c>
      <c r="V147" s="144" t="s">
        <v>101</v>
      </c>
      <c r="W147" s="144" t="s">
        <v>102</v>
      </c>
      <c r="X147" s="144" t="s">
        <v>103</v>
      </c>
      <c r="Y147" s="144" t="s">
        <v>104</v>
      </c>
      <c r="Z147" s="144" t="s">
        <v>105</v>
      </c>
      <c r="AA147" s="144" t="s">
        <v>106</v>
      </c>
      <c r="AB147" s="144" t="s">
        <v>107</v>
      </c>
      <c r="AD147" s="111" t="s">
        <v>212</v>
      </c>
      <c r="AE147" s="260" t="s">
        <v>157</v>
      </c>
    </row>
    <row r="148" spans="1:33" ht="12" customHeight="1">
      <c r="C148" s="144" t="s">
        <v>158</v>
      </c>
      <c r="D148" s="144" t="s">
        <v>158</v>
      </c>
      <c r="E148" s="144" t="s">
        <v>158</v>
      </c>
      <c r="F148" s="144" t="s">
        <v>158</v>
      </c>
      <c r="G148" s="144" t="s">
        <v>158</v>
      </c>
      <c r="H148" s="144" t="s">
        <v>158</v>
      </c>
      <c r="I148" s="144" t="s">
        <v>158</v>
      </c>
      <c r="J148" s="144" t="s">
        <v>158</v>
      </c>
      <c r="K148" s="144" t="s">
        <v>158</v>
      </c>
      <c r="L148" s="144" t="s">
        <v>158</v>
      </c>
      <c r="M148" s="144" t="s">
        <v>158</v>
      </c>
      <c r="N148" s="144" t="s">
        <v>158</v>
      </c>
      <c r="O148" s="144" t="s">
        <v>158</v>
      </c>
      <c r="P148" s="144" t="s">
        <v>158</v>
      </c>
      <c r="Q148" s="144" t="s">
        <v>158</v>
      </c>
      <c r="R148" s="144" t="s">
        <v>158</v>
      </c>
      <c r="S148" s="144" t="s">
        <v>159</v>
      </c>
      <c r="T148" s="144" t="s">
        <v>159</v>
      </c>
      <c r="U148" s="144" t="s">
        <v>159</v>
      </c>
      <c r="V148" s="144" t="s">
        <v>159</v>
      </c>
      <c r="W148" s="144" t="s">
        <v>159</v>
      </c>
      <c r="X148" s="144" t="s">
        <v>159</v>
      </c>
      <c r="Y148" s="144" t="s">
        <v>159</v>
      </c>
      <c r="Z148" s="144" t="s">
        <v>159</v>
      </c>
      <c r="AA148" s="144" t="s">
        <v>159</v>
      </c>
      <c r="AB148" s="144" t="s">
        <v>159</v>
      </c>
      <c r="AC148" s="144"/>
      <c r="AD148" s="111" t="s">
        <v>213</v>
      </c>
      <c r="AE148" s="260" t="s">
        <v>160</v>
      </c>
    </row>
    <row r="149" spans="1:33" ht="12" customHeight="1">
      <c r="B149" s="11" t="s">
        <v>572</v>
      </c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11"/>
      <c r="AE149" s="260"/>
      <c r="AG149" s="221" t="s">
        <v>573</v>
      </c>
    </row>
    <row r="150" spans="1:33" s="148" customFormat="1" ht="12" customHeight="1">
      <c r="A150" s="223" t="s">
        <v>142</v>
      </c>
      <c r="B150" s="145" t="s">
        <v>574</v>
      </c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7"/>
      <c r="AD150" s="142"/>
      <c r="AE150" s="142"/>
      <c r="AG150" s="674"/>
    </row>
    <row r="151" spans="1:33" ht="12" customHeight="1">
      <c r="B151" s="149" t="s">
        <v>575</v>
      </c>
      <c r="C151" s="204">
        <v>0</v>
      </c>
      <c r="D151" s="204">
        <v>0</v>
      </c>
      <c r="E151" s="204">
        <v>0</v>
      </c>
      <c r="F151" s="204">
        <v>0</v>
      </c>
      <c r="G151" s="204">
        <v>0</v>
      </c>
      <c r="H151" s="204">
        <v>0</v>
      </c>
      <c r="I151" s="204">
        <v>0</v>
      </c>
      <c r="J151" s="204">
        <v>0</v>
      </c>
      <c r="K151" s="204">
        <v>0</v>
      </c>
      <c r="L151" s="204">
        <v>0</v>
      </c>
      <c r="M151" s="204">
        <v>0</v>
      </c>
      <c r="N151" s="204">
        <v>0</v>
      </c>
      <c r="O151" s="204">
        <v>0</v>
      </c>
      <c r="P151" s="204">
        <v>0</v>
      </c>
      <c r="Q151" s="204">
        <v>0</v>
      </c>
      <c r="R151" s="204">
        <v>0</v>
      </c>
      <c r="S151" s="204">
        <f>S171+S172-S152</f>
        <v>0</v>
      </c>
      <c r="T151" s="204">
        <f>T171+T172-T152</f>
        <v>0</v>
      </c>
      <c r="U151" s="204">
        <f>U171+U172-U152</f>
        <v>0</v>
      </c>
      <c r="V151" s="204">
        <f>V171+V172-V152</f>
        <v>0</v>
      </c>
      <c r="W151" s="204">
        <v>0</v>
      </c>
      <c r="X151" s="204">
        <v>0</v>
      </c>
      <c r="Y151" s="204">
        <v>0</v>
      </c>
      <c r="Z151" s="204">
        <v>0</v>
      </c>
      <c r="AA151" s="204">
        <v>0</v>
      </c>
      <c r="AB151" s="204">
        <v>0</v>
      </c>
      <c r="AD151" s="8" t="str">
        <f t="shared" ref="AD151:AD161" si="223">IFERROR(AVERAGE((M151-L151)/L151,(N151-M151)/M151,(O151-N151)/N151,(P151-O151)/O151,(Q151-P151)/P151),"")</f>
        <v/>
      </c>
      <c r="AG151" s="221" t="s">
        <v>576</v>
      </c>
    </row>
    <row r="152" spans="1:33" ht="12" customHeight="1">
      <c r="B152" s="149" t="s">
        <v>577</v>
      </c>
      <c r="C152" s="204">
        <v>0</v>
      </c>
      <c r="D152" s="204">
        <v>0</v>
      </c>
      <c r="E152" s="204">
        <v>0</v>
      </c>
      <c r="F152" s="204">
        <v>0</v>
      </c>
      <c r="G152" s="204">
        <v>0</v>
      </c>
      <c r="H152" s="204">
        <v>0</v>
      </c>
      <c r="I152" s="204">
        <v>0</v>
      </c>
      <c r="J152" s="204">
        <v>0</v>
      </c>
      <c r="K152" s="204">
        <v>0</v>
      </c>
      <c r="L152" s="204">
        <v>0</v>
      </c>
      <c r="M152" s="204">
        <v>0</v>
      </c>
      <c r="N152" s="204">
        <v>0</v>
      </c>
      <c r="O152" s="204">
        <v>0</v>
      </c>
      <c r="P152" s="204">
        <v>0</v>
      </c>
      <c r="Q152" s="204">
        <v>0</v>
      </c>
      <c r="R152" s="204">
        <v>0</v>
      </c>
      <c r="S152" s="204">
        <v>0</v>
      </c>
      <c r="T152" s="204">
        <v>0</v>
      </c>
      <c r="U152" s="204">
        <v>0</v>
      </c>
      <c r="V152" s="204">
        <v>0</v>
      </c>
      <c r="W152" s="204">
        <v>0</v>
      </c>
      <c r="X152" s="204">
        <v>0</v>
      </c>
      <c r="Y152" s="204">
        <v>0</v>
      </c>
      <c r="Z152" s="204">
        <v>0</v>
      </c>
      <c r="AA152" s="204">
        <v>0</v>
      </c>
      <c r="AB152" s="204">
        <v>0</v>
      </c>
      <c r="AD152" s="150" t="str">
        <f t="shared" si="223"/>
        <v/>
      </c>
      <c r="AG152" s="221" t="s">
        <v>578</v>
      </c>
    </row>
    <row r="153" spans="1:33" ht="12" customHeight="1">
      <c r="B153" s="219" t="s">
        <v>579</v>
      </c>
      <c r="C153" s="485">
        <f t="shared" ref="C153:V153" si="224">SUM(C151:C152)</f>
        <v>0</v>
      </c>
      <c r="D153" s="485">
        <f t="shared" si="224"/>
        <v>0</v>
      </c>
      <c r="E153" s="485">
        <f t="shared" si="224"/>
        <v>0</v>
      </c>
      <c r="F153" s="485">
        <f t="shared" si="224"/>
        <v>0</v>
      </c>
      <c r="G153" s="485">
        <f t="shared" si="224"/>
        <v>0</v>
      </c>
      <c r="H153" s="485">
        <f t="shared" si="224"/>
        <v>0</v>
      </c>
      <c r="I153" s="485">
        <f t="shared" si="224"/>
        <v>0</v>
      </c>
      <c r="J153" s="485">
        <f t="shared" si="224"/>
        <v>0</v>
      </c>
      <c r="K153" s="485">
        <f t="shared" si="224"/>
        <v>0</v>
      </c>
      <c r="L153" s="485">
        <f t="shared" si="224"/>
        <v>0</v>
      </c>
      <c r="M153" s="485">
        <f t="shared" si="224"/>
        <v>0</v>
      </c>
      <c r="N153" s="485">
        <f t="shared" si="224"/>
        <v>0</v>
      </c>
      <c r="O153" s="485">
        <f t="shared" si="224"/>
        <v>0</v>
      </c>
      <c r="P153" s="485">
        <f t="shared" si="224"/>
        <v>0</v>
      </c>
      <c r="Q153" s="485">
        <f t="shared" si="224"/>
        <v>0</v>
      </c>
      <c r="R153" s="485">
        <f t="shared" si="224"/>
        <v>0</v>
      </c>
      <c r="S153" s="485">
        <f t="shared" si="224"/>
        <v>0</v>
      </c>
      <c r="T153" s="485">
        <f t="shared" si="224"/>
        <v>0</v>
      </c>
      <c r="U153" s="485">
        <f t="shared" si="224"/>
        <v>0</v>
      </c>
      <c r="V153" s="485">
        <f t="shared" si="224"/>
        <v>0</v>
      </c>
      <c r="W153" s="485">
        <f t="shared" ref="W153:X153" si="225">SUM(W151:W152)</f>
        <v>0</v>
      </c>
      <c r="X153" s="485">
        <f t="shared" si="225"/>
        <v>0</v>
      </c>
      <c r="Y153" s="485">
        <f t="shared" ref="Y153:Z153" si="226">SUM(Y151:Y152)</f>
        <v>0</v>
      </c>
      <c r="Z153" s="485">
        <f t="shared" si="226"/>
        <v>0</v>
      </c>
      <c r="AA153" s="204">
        <v>0</v>
      </c>
      <c r="AB153" s="204">
        <v>0</v>
      </c>
      <c r="AD153" s="8" t="str">
        <f t="shared" si="223"/>
        <v/>
      </c>
    </row>
    <row r="154" spans="1:33" ht="12" customHeight="1">
      <c r="B154" s="149" t="s">
        <v>580</v>
      </c>
      <c r="C154" s="204">
        <v>0</v>
      </c>
      <c r="D154" s="204">
        <v>0</v>
      </c>
      <c r="E154" s="204">
        <v>0</v>
      </c>
      <c r="F154" s="204">
        <v>0</v>
      </c>
      <c r="G154" s="204">
        <v>0</v>
      </c>
      <c r="H154" s="204">
        <v>0</v>
      </c>
      <c r="I154" s="204">
        <v>0</v>
      </c>
      <c r="J154" s="204">
        <v>0</v>
      </c>
      <c r="K154" s="204">
        <v>0</v>
      </c>
      <c r="L154" s="204">
        <v>0</v>
      </c>
      <c r="M154" s="204">
        <v>0</v>
      </c>
      <c r="N154" s="204">
        <v>0</v>
      </c>
      <c r="O154" s="204">
        <v>0</v>
      </c>
      <c r="P154" s="204">
        <v>0</v>
      </c>
      <c r="Q154" s="204">
        <v>0</v>
      </c>
      <c r="R154" s="204">
        <v>0</v>
      </c>
      <c r="S154" s="204">
        <v>0</v>
      </c>
      <c r="T154" s="204">
        <v>0</v>
      </c>
      <c r="U154" s="204">
        <v>0</v>
      </c>
      <c r="V154" s="204">
        <v>0</v>
      </c>
      <c r="W154" s="204">
        <v>0</v>
      </c>
      <c r="X154" s="204">
        <v>0</v>
      </c>
      <c r="Y154" s="204">
        <v>0</v>
      </c>
      <c r="Z154" s="204">
        <v>0</v>
      </c>
      <c r="AA154" s="204">
        <v>0</v>
      </c>
      <c r="AB154" s="204">
        <v>0</v>
      </c>
      <c r="AD154" s="150" t="str">
        <f t="shared" si="223"/>
        <v/>
      </c>
    </row>
    <row r="155" spans="1:33" ht="12" customHeight="1">
      <c r="B155" s="149" t="s">
        <v>581</v>
      </c>
      <c r="C155" s="204">
        <v>0</v>
      </c>
      <c r="D155" s="204">
        <v>0</v>
      </c>
      <c r="E155" s="204">
        <v>0</v>
      </c>
      <c r="F155" s="204">
        <v>0</v>
      </c>
      <c r="G155" s="204">
        <v>0</v>
      </c>
      <c r="H155" s="204">
        <v>0</v>
      </c>
      <c r="I155" s="204">
        <v>0</v>
      </c>
      <c r="J155" s="204">
        <v>0</v>
      </c>
      <c r="K155" s="204">
        <v>0</v>
      </c>
      <c r="L155" s="204">
        <v>0</v>
      </c>
      <c r="M155" s="204">
        <v>0</v>
      </c>
      <c r="N155" s="204">
        <v>0</v>
      </c>
      <c r="O155" s="204">
        <v>0</v>
      </c>
      <c r="P155" s="204">
        <v>0</v>
      </c>
      <c r="Q155" s="204">
        <v>0</v>
      </c>
      <c r="R155" s="204">
        <v>0</v>
      </c>
      <c r="S155" s="204">
        <v>0</v>
      </c>
      <c r="T155" s="204">
        <v>0</v>
      </c>
      <c r="U155" s="204">
        <v>0</v>
      </c>
      <c r="V155" s="204">
        <v>0</v>
      </c>
      <c r="W155" s="204">
        <v>0</v>
      </c>
      <c r="X155" s="204">
        <v>0</v>
      </c>
      <c r="Y155" s="204">
        <v>0</v>
      </c>
      <c r="Z155" s="204">
        <v>0</v>
      </c>
      <c r="AA155" s="204">
        <v>0</v>
      </c>
      <c r="AB155" s="204">
        <v>0</v>
      </c>
      <c r="AD155" s="150" t="str">
        <f t="shared" si="223"/>
        <v/>
      </c>
    </row>
    <row r="156" spans="1:33" ht="12" customHeight="1">
      <c r="B156" s="149" t="s">
        <v>582</v>
      </c>
      <c r="C156" s="204">
        <v>0</v>
      </c>
      <c r="D156" s="204">
        <v>0</v>
      </c>
      <c r="E156" s="204">
        <v>0</v>
      </c>
      <c r="F156" s="204">
        <v>0</v>
      </c>
      <c r="G156" s="204">
        <v>0</v>
      </c>
      <c r="H156" s="204">
        <v>0</v>
      </c>
      <c r="I156" s="204">
        <v>0</v>
      </c>
      <c r="J156" s="204">
        <v>0</v>
      </c>
      <c r="K156" s="204">
        <v>0</v>
      </c>
      <c r="L156" s="204">
        <v>0</v>
      </c>
      <c r="M156" s="204">
        <v>0</v>
      </c>
      <c r="N156" s="204">
        <v>0</v>
      </c>
      <c r="O156" s="204">
        <v>0</v>
      </c>
      <c r="P156" s="204">
        <v>0</v>
      </c>
      <c r="Q156" s="204">
        <v>0</v>
      </c>
      <c r="R156" s="204">
        <v>0</v>
      </c>
      <c r="S156" s="204">
        <v>0</v>
      </c>
      <c r="T156" s="204">
        <v>0</v>
      </c>
      <c r="U156" s="204">
        <v>0</v>
      </c>
      <c r="V156" s="204">
        <v>0</v>
      </c>
      <c r="W156" s="204">
        <v>0</v>
      </c>
      <c r="X156" s="204">
        <v>0</v>
      </c>
      <c r="Y156" s="204">
        <v>0</v>
      </c>
      <c r="Z156" s="204">
        <v>0</v>
      </c>
      <c r="AA156" s="204">
        <v>0</v>
      </c>
      <c r="AB156" s="204">
        <v>0</v>
      </c>
      <c r="AD156" s="143" t="str">
        <f t="shared" si="223"/>
        <v/>
      </c>
    </row>
    <row r="157" spans="1:33" ht="12" customHeight="1">
      <c r="B157" s="151" t="s">
        <v>583</v>
      </c>
      <c r="C157" s="486">
        <f t="shared" ref="C157:N157" si="227">SUM(C153:C156)</f>
        <v>0</v>
      </c>
      <c r="D157" s="486">
        <f t="shared" si="227"/>
        <v>0</v>
      </c>
      <c r="E157" s="486">
        <f t="shared" si="227"/>
        <v>0</v>
      </c>
      <c r="F157" s="486">
        <f t="shared" si="227"/>
        <v>0</v>
      </c>
      <c r="G157" s="486">
        <f t="shared" si="227"/>
        <v>0</v>
      </c>
      <c r="H157" s="486">
        <f t="shared" si="227"/>
        <v>0</v>
      </c>
      <c r="I157" s="486">
        <f t="shared" si="227"/>
        <v>0</v>
      </c>
      <c r="J157" s="486">
        <f t="shared" si="227"/>
        <v>0</v>
      </c>
      <c r="K157" s="486">
        <f t="shared" si="227"/>
        <v>0</v>
      </c>
      <c r="L157" s="486">
        <f t="shared" si="227"/>
        <v>0</v>
      </c>
      <c r="M157" s="486">
        <f t="shared" si="227"/>
        <v>0</v>
      </c>
      <c r="N157" s="486">
        <f t="shared" si="227"/>
        <v>0</v>
      </c>
      <c r="O157" s="486">
        <f>SUM(O153:O156)</f>
        <v>0</v>
      </c>
      <c r="P157" s="486">
        <f>SUM(P153:P156)</f>
        <v>0</v>
      </c>
      <c r="Q157" s="486">
        <f t="shared" ref="Q157:W157" si="228">SUM(Q153:Q156)</f>
        <v>0</v>
      </c>
      <c r="R157" s="486">
        <f t="shared" si="228"/>
        <v>0</v>
      </c>
      <c r="S157" s="486">
        <f t="shared" si="228"/>
        <v>0</v>
      </c>
      <c r="T157" s="486">
        <f t="shared" si="228"/>
        <v>0</v>
      </c>
      <c r="U157" s="486">
        <f t="shared" si="228"/>
        <v>0</v>
      </c>
      <c r="V157" s="486">
        <f t="shared" si="228"/>
        <v>0</v>
      </c>
      <c r="W157" s="486">
        <f t="shared" si="228"/>
        <v>0</v>
      </c>
      <c r="X157" s="486">
        <f t="shared" ref="X157:Y157" si="229">SUM(X153:X156)</f>
        <v>0</v>
      </c>
      <c r="Y157" s="486">
        <f t="shared" si="229"/>
        <v>0</v>
      </c>
      <c r="Z157" s="486">
        <f t="shared" ref="Z157:AB157" si="230">SUM(Z153:Z156)</f>
        <v>0</v>
      </c>
      <c r="AA157" s="486">
        <f t="shared" si="230"/>
        <v>0</v>
      </c>
      <c r="AB157" s="486">
        <f t="shared" si="230"/>
        <v>0</v>
      </c>
      <c r="AD157" s="8" t="str">
        <f t="shared" si="223"/>
        <v/>
      </c>
    </row>
    <row r="158" spans="1:33" ht="12" customHeight="1">
      <c r="K158" s="4"/>
      <c r="P158" s="487"/>
      <c r="Q158" s="487"/>
      <c r="R158" s="487"/>
      <c r="S158" s="487"/>
      <c r="T158" s="487"/>
      <c r="U158" s="487"/>
      <c r="V158" s="487"/>
      <c r="W158" s="487"/>
      <c r="X158" s="487"/>
      <c r="Y158" s="487"/>
      <c r="Z158" s="487"/>
      <c r="AA158" s="487"/>
      <c r="AB158" s="487"/>
      <c r="AD158" s="142" t="str">
        <f t="shared" si="223"/>
        <v/>
      </c>
    </row>
    <row r="159" spans="1:33" s="153" customFormat="1" ht="12" customHeight="1">
      <c r="A159" s="223" t="s">
        <v>142</v>
      </c>
      <c r="B159" s="205" t="s">
        <v>584</v>
      </c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5"/>
      <c r="O159" s="155"/>
      <c r="P159" s="488"/>
      <c r="Q159" s="488"/>
      <c r="R159" s="488"/>
      <c r="S159" s="488"/>
      <c r="T159" s="488"/>
      <c r="U159" s="488"/>
      <c r="V159" s="488"/>
      <c r="W159" s="488"/>
      <c r="X159" s="488"/>
      <c r="Y159" s="488"/>
      <c r="Z159" s="488"/>
      <c r="AA159" s="488"/>
      <c r="AB159" s="488"/>
      <c r="AC159" s="156"/>
      <c r="AD159" s="157" t="str">
        <f t="shared" si="223"/>
        <v/>
      </c>
      <c r="AE159" s="152"/>
      <c r="AF159" s="881"/>
      <c r="AG159" s="881"/>
    </row>
    <row r="160" spans="1:33" ht="12" customHeight="1">
      <c r="B160" s="149" t="s">
        <v>585</v>
      </c>
      <c r="C160" s="204">
        <v>0</v>
      </c>
      <c r="D160" s="204">
        <v>0</v>
      </c>
      <c r="E160" s="204">
        <v>0</v>
      </c>
      <c r="F160" s="204">
        <v>0</v>
      </c>
      <c r="G160" s="204">
        <v>0</v>
      </c>
      <c r="H160" s="204">
        <v>0</v>
      </c>
      <c r="I160" s="204">
        <v>0</v>
      </c>
      <c r="J160" s="204">
        <v>0</v>
      </c>
      <c r="K160" s="204">
        <v>0</v>
      </c>
      <c r="L160" s="204">
        <v>0</v>
      </c>
      <c r="M160" s="204">
        <v>0</v>
      </c>
      <c r="N160" s="204">
        <v>0</v>
      </c>
      <c r="O160" s="204">
        <v>0</v>
      </c>
      <c r="P160" s="204">
        <v>0</v>
      </c>
      <c r="Q160" s="204">
        <v>0</v>
      </c>
      <c r="R160" s="204">
        <v>0</v>
      </c>
      <c r="S160" s="204">
        <v>0</v>
      </c>
      <c r="T160" s="204">
        <v>0</v>
      </c>
      <c r="U160" s="204">
        <v>0</v>
      </c>
      <c r="V160" s="204">
        <v>0</v>
      </c>
      <c r="W160" s="204">
        <v>0</v>
      </c>
      <c r="X160" s="204">
        <v>0</v>
      </c>
      <c r="Y160" s="204">
        <v>0</v>
      </c>
      <c r="Z160" s="204">
        <v>0</v>
      </c>
      <c r="AA160" s="204">
        <v>0</v>
      </c>
      <c r="AB160" s="204">
        <v>0</v>
      </c>
      <c r="AD160" s="8" t="str">
        <f t="shared" si="223"/>
        <v/>
      </c>
    </row>
    <row r="161" spans="1:33" ht="12" customHeight="1" thickBot="1">
      <c r="B161" s="837" t="s">
        <v>586</v>
      </c>
      <c r="C161" s="838">
        <f t="shared" ref="C161" si="231">IF(C160&gt;0,C160-C153,0)</f>
        <v>0</v>
      </c>
      <c r="D161" s="838">
        <f t="shared" ref="D161" si="232">IF(D160&gt;0,D160-D153,0)</f>
        <v>0</v>
      </c>
      <c r="E161" s="838">
        <f t="shared" ref="E161" si="233">IF(E160&gt;0,E160-E153,0)</f>
        <v>0</v>
      </c>
      <c r="F161" s="838">
        <f t="shared" ref="F161" si="234">IF(F160&gt;0,F160-F153,0)</f>
        <v>0</v>
      </c>
      <c r="G161" s="838">
        <f t="shared" ref="G161" si="235">IF(G160&gt;0,G160-G153,0)</f>
        <v>0</v>
      </c>
      <c r="H161" s="838">
        <f t="shared" ref="H161" si="236">IF(H160&gt;0,H160-H153,0)</f>
        <v>0</v>
      </c>
      <c r="I161" s="838">
        <f t="shared" ref="I161" si="237">IF(I160&gt;0,I160-I153,0)</f>
        <v>0</v>
      </c>
      <c r="J161" s="838">
        <f t="shared" ref="J161" si="238">IF(J160&gt;0,J160-J153,0)</f>
        <v>0</v>
      </c>
      <c r="K161" s="838">
        <f t="shared" ref="K161" si="239">IF(K160&gt;0,K160-K153,0)</f>
        <v>0</v>
      </c>
      <c r="L161" s="838">
        <f t="shared" ref="L161" si="240">IF(L160&gt;0,L160-L153,0)</f>
        <v>0</v>
      </c>
      <c r="M161" s="838">
        <f t="shared" ref="M161" si="241">IF(M160&gt;0,M160-M153,0)</f>
        <v>0</v>
      </c>
      <c r="N161" s="838">
        <f t="shared" ref="N161" si="242">IF(N160&gt;0,N160-N153,0)</f>
        <v>0</v>
      </c>
      <c r="O161" s="838">
        <f t="shared" ref="O161" si="243">IF(O160&gt;0,O160-O153,0)</f>
        <v>0</v>
      </c>
      <c r="P161" s="838">
        <f t="shared" ref="P161" si="244">IF(P160&gt;0,P160-P153,0)</f>
        <v>0</v>
      </c>
      <c r="Q161" s="838">
        <f t="shared" ref="Q161" si="245">IF(Q160&gt;0,Q160-Q153,0)</f>
        <v>0</v>
      </c>
      <c r="R161" s="838">
        <f t="shared" ref="R161" si="246">IF(R160&gt;0,R160-R153,0)</f>
        <v>0</v>
      </c>
      <c r="S161" s="838">
        <f t="shared" ref="S161" si="247">IF(S160&gt;0,S160-S153,0)</f>
        <v>0</v>
      </c>
      <c r="T161" s="838">
        <f t="shared" ref="T161" si="248">IF(T160&gt;0,T160-T153,0)</f>
        <v>0</v>
      </c>
      <c r="U161" s="838">
        <f t="shared" ref="U161" si="249">IF(U160&gt;0,U160-U153,0)</f>
        <v>0</v>
      </c>
      <c r="V161" s="838">
        <f t="shared" ref="V161" si="250">IF(V160&gt;0,V160-V153,0)</f>
        <v>0</v>
      </c>
      <c r="W161" s="838">
        <f t="shared" ref="W161:X161" si="251">IF(W160&gt;0,W160-W153,0)</f>
        <v>0</v>
      </c>
      <c r="X161" s="838">
        <f t="shared" si="251"/>
        <v>0</v>
      </c>
      <c r="Y161" s="838">
        <f t="shared" ref="Y161:Z161" si="252">IF(Y160&gt;0,Y160-Y153,0)</f>
        <v>0</v>
      </c>
      <c r="Z161" s="838">
        <f t="shared" si="252"/>
        <v>0</v>
      </c>
      <c r="AA161" s="838">
        <f t="shared" ref="AA161:AB161" si="253">IF(AA160&gt;0,AA160-AA153,0)</f>
        <v>0</v>
      </c>
      <c r="AB161" s="838">
        <f t="shared" si="253"/>
        <v>0</v>
      </c>
      <c r="AD161" s="8" t="str">
        <f t="shared" si="223"/>
        <v/>
      </c>
    </row>
    <row r="162" spans="1:33" s="49" customFormat="1" ht="12" customHeight="1" thickTop="1">
      <c r="A162" s="206"/>
      <c r="B162" s="831" t="s">
        <v>390</v>
      </c>
      <c r="C162" s="832" t="str">
        <f t="shared" ref="C162:W162" si="254">IFERROR(C161/C153,"")</f>
        <v/>
      </c>
      <c r="D162" s="832" t="str">
        <f t="shared" si="254"/>
        <v/>
      </c>
      <c r="E162" s="832" t="str">
        <f t="shared" si="254"/>
        <v/>
      </c>
      <c r="F162" s="832" t="str">
        <f t="shared" si="254"/>
        <v/>
      </c>
      <c r="G162" s="832" t="str">
        <f t="shared" si="254"/>
        <v/>
      </c>
      <c r="H162" s="832" t="str">
        <f t="shared" si="254"/>
        <v/>
      </c>
      <c r="I162" s="832" t="str">
        <f t="shared" si="254"/>
        <v/>
      </c>
      <c r="J162" s="832" t="str">
        <f t="shared" si="254"/>
        <v/>
      </c>
      <c r="K162" s="832" t="str">
        <f t="shared" si="254"/>
        <v/>
      </c>
      <c r="L162" s="832" t="str">
        <f t="shared" si="254"/>
        <v/>
      </c>
      <c r="M162" s="832" t="str">
        <f t="shared" si="254"/>
        <v/>
      </c>
      <c r="N162" s="832" t="str">
        <f t="shared" si="254"/>
        <v/>
      </c>
      <c r="O162" s="832" t="str">
        <f t="shared" si="254"/>
        <v/>
      </c>
      <c r="P162" s="832" t="str">
        <f t="shared" si="254"/>
        <v/>
      </c>
      <c r="Q162" s="832" t="str">
        <f t="shared" si="254"/>
        <v/>
      </c>
      <c r="R162" s="832" t="str">
        <f t="shared" si="254"/>
        <v/>
      </c>
      <c r="S162" s="832" t="str">
        <f t="shared" si="254"/>
        <v/>
      </c>
      <c r="T162" s="832" t="str">
        <f t="shared" si="254"/>
        <v/>
      </c>
      <c r="U162" s="832" t="str">
        <f t="shared" si="254"/>
        <v/>
      </c>
      <c r="V162" s="832" t="str">
        <f t="shared" si="254"/>
        <v/>
      </c>
      <c r="W162" s="832" t="str">
        <f t="shared" si="254"/>
        <v/>
      </c>
      <c r="X162" s="832" t="str">
        <f t="shared" ref="X162:Y162" si="255">IFERROR(X161/X153,"")</f>
        <v/>
      </c>
      <c r="Y162" s="832" t="str">
        <f t="shared" si="255"/>
        <v/>
      </c>
      <c r="Z162" s="832" t="str">
        <f t="shared" ref="Z162:AB162" si="256">IFERROR(Z161/Z153,"")</f>
        <v/>
      </c>
      <c r="AA162" s="832" t="str">
        <f t="shared" si="256"/>
        <v/>
      </c>
      <c r="AB162" s="832" t="str">
        <f t="shared" si="256"/>
        <v/>
      </c>
      <c r="AC162" s="76"/>
      <c r="AF162" s="206"/>
      <c r="AG162" s="206"/>
    </row>
    <row r="163" spans="1:33" s="160" customFormat="1" ht="12" customHeight="1">
      <c r="A163" s="225"/>
      <c r="B163" s="161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487"/>
      <c r="Q163" s="487"/>
      <c r="R163" s="487"/>
      <c r="S163" s="487"/>
      <c r="T163" s="487"/>
      <c r="U163" s="487"/>
      <c r="V163" s="487"/>
      <c r="W163" s="487"/>
      <c r="X163" s="487"/>
      <c r="Y163" s="487"/>
      <c r="Z163" s="487"/>
      <c r="AA163" s="487"/>
      <c r="AB163" s="487"/>
      <c r="AC163" s="13"/>
      <c r="AD163" s="143" t="str">
        <f t="shared" ref="AD163:AD172" si="257">IFERROR(AVERAGE((M163-L163)/L163,(N163-M163)/M163,(O163-N163)/N163,(P163-O163)/O163,(Q163-P163)/P163),"")</f>
        <v/>
      </c>
      <c r="AE163" s="143"/>
      <c r="AF163" s="884"/>
      <c r="AG163" s="225"/>
    </row>
    <row r="164" spans="1:33" s="11" customFormat="1" ht="12" customHeight="1">
      <c r="A164" s="230" t="s">
        <v>217</v>
      </c>
      <c r="B164" s="145" t="s">
        <v>587</v>
      </c>
      <c r="C164" s="13"/>
      <c r="D164" s="13"/>
      <c r="E164" s="13"/>
      <c r="F164" s="13"/>
      <c r="G164" s="13"/>
      <c r="H164" s="13"/>
      <c r="I164" s="13"/>
      <c r="J164" s="13"/>
      <c r="K164" s="154"/>
      <c r="L164" s="154"/>
      <c r="M164" s="154"/>
      <c r="N164" s="144"/>
      <c r="O164" s="144"/>
      <c r="P164" s="489"/>
      <c r="Q164" s="489"/>
      <c r="R164" s="489"/>
      <c r="S164" s="489"/>
      <c r="T164" s="489"/>
      <c r="U164" s="489"/>
      <c r="V164" s="489"/>
      <c r="W164" s="489"/>
      <c r="X164" s="489"/>
      <c r="Y164" s="489"/>
      <c r="Z164" s="489"/>
      <c r="AA164" s="489"/>
      <c r="AB164" s="489"/>
      <c r="AC164" s="13"/>
      <c r="AD164" s="142" t="str">
        <f t="shared" si="257"/>
        <v/>
      </c>
      <c r="AE164" s="142"/>
      <c r="AF164" s="900"/>
      <c r="AG164" s="900"/>
    </row>
    <row r="165" spans="1:33" ht="12" customHeight="1">
      <c r="B165" s="37" t="s">
        <v>27</v>
      </c>
      <c r="C165" s="204">
        <v>0</v>
      </c>
      <c r="D165" s="204">
        <v>0</v>
      </c>
      <c r="E165" s="204">
        <v>0</v>
      </c>
      <c r="F165" s="204">
        <v>0</v>
      </c>
      <c r="G165" s="204">
        <v>0</v>
      </c>
      <c r="H165" s="204">
        <v>0</v>
      </c>
      <c r="I165" s="204">
        <v>0</v>
      </c>
      <c r="J165" s="204">
        <v>0</v>
      </c>
      <c r="K165" s="204">
        <v>0</v>
      </c>
      <c r="L165" s="204">
        <v>0</v>
      </c>
      <c r="M165" s="204">
        <v>0</v>
      </c>
      <c r="N165" s="204">
        <v>0</v>
      </c>
      <c r="O165" s="204">
        <v>0</v>
      </c>
      <c r="P165" s="204">
        <v>0</v>
      </c>
      <c r="Q165" s="169">
        <f>+P165</f>
        <v>0</v>
      </c>
      <c r="R165" s="169">
        <v>0</v>
      </c>
      <c r="S165" s="169">
        <f t="shared" ref="S165" si="258">+R165</f>
        <v>0</v>
      </c>
      <c r="T165" s="169">
        <f t="shared" ref="T165" si="259">+S165</f>
        <v>0</v>
      </c>
      <c r="U165" s="169">
        <f t="shared" ref="U165" si="260">+T165</f>
        <v>0</v>
      </c>
      <c r="V165" s="169">
        <f t="shared" ref="V165" si="261">+U165</f>
        <v>0</v>
      </c>
      <c r="W165" s="169">
        <f t="shared" ref="W165:Z165" si="262">+V165</f>
        <v>0</v>
      </c>
      <c r="X165" s="169">
        <f t="shared" si="262"/>
        <v>0</v>
      </c>
      <c r="Y165" s="169">
        <f t="shared" si="262"/>
        <v>0</v>
      </c>
      <c r="Z165" s="169">
        <f t="shared" si="262"/>
        <v>0</v>
      </c>
      <c r="AA165" s="169">
        <f t="shared" ref="AA165" si="263">+Z165</f>
        <v>0</v>
      </c>
      <c r="AB165" s="169">
        <f t="shared" ref="AB165" si="264">+AA165</f>
        <v>0</v>
      </c>
      <c r="AD165" s="8" t="str">
        <f t="shared" si="257"/>
        <v/>
      </c>
      <c r="AE165" s="779" t="s">
        <v>474</v>
      </c>
    </row>
    <row r="166" spans="1:33" ht="12" customHeight="1">
      <c r="B166" s="37" t="s">
        <v>32</v>
      </c>
      <c r="C166" s="204">
        <v>0</v>
      </c>
      <c r="D166" s="204">
        <v>0</v>
      </c>
      <c r="E166" s="204">
        <v>0</v>
      </c>
      <c r="F166" s="204">
        <v>0</v>
      </c>
      <c r="G166" s="204">
        <v>0</v>
      </c>
      <c r="H166" s="204">
        <v>0</v>
      </c>
      <c r="I166" s="204">
        <v>0</v>
      </c>
      <c r="J166" s="204">
        <v>0</v>
      </c>
      <c r="K166" s="204">
        <v>0</v>
      </c>
      <c r="L166" s="204">
        <v>0</v>
      </c>
      <c r="M166" s="204">
        <v>0</v>
      </c>
      <c r="N166" s="204">
        <v>0</v>
      </c>
      <c r="O166" s="204">
        <v>0</v>
      </c>
      <c r="P166" s="204">
        <v>0</v>
      </c>
      <c r="Q166" s="204">
        <f>P166*(1+$AE$23)</f>
        <v>0</v>
      </c>
      <c r="R166" s="169">
        <v>0</v>
      </c>
      <c r="S166" s="169">
        <f t="shared" ref="S166:Z166" si="265">ROUND(R166*(1+$AE166),0)</f>
        <v>0</v>
      </c>
      <c r="T166" s="169">
        <f t="shared" si="265"/>
        <v>0</v>
      </c>
      <c r="U166" s="169">
        <f t="shared" si="265"/>
        <v>0</v>
      </c>
      <c r="V166" s="169">
        <f t="shared" si="265"/>
        <v>0</v>
      </c>
      <c r="W166" s="169">
        <f t="shared" si="265"/>
        <v>0</v>
      </c>
      <c r="X166" s="169">
        <f t="shared" si="265"/>
        <v>0</v>
      </c>
      <c r="Y166" s="169">
        <f t="shared" si="265"/>
        <v>0</v>
      </c>
      <c r="Z166" s="169">
        <f t="shared" si="265"/>
        <v>0</v>
      </c>
      <c r="AA166" s="169">
        <f t="shared" ref="AA166:AB166" si="266">ROUND(Z166*(1+$AE166),0)</f>
        <v>0</v>
      </c>
      <c r="AB166" s="169">
        <f t="shared" si="266"/>
        <v>0</v>
      </c>
      <c r="AD166" s="8" t="str">
        <f t="shared" si="257"/>
        <v/>
      </c>
      <c r="AE166" s="163">
        <v>0</v>
      </c>
    </row>
    <row r="167" spans="1:33" ht="12" customHeight="1">
      <c r="B167" s="37" t="s">
        <v>588</v>
      </c>
      <c r="C167" s="204">
        <v>0</v>
      </c>
      <c r="D167" s="204">
        <v>0</v>
      </c>
      <c r="E167" s="204">
        <v>0</v>
      </c>
      <c r="F167" s="204">
        <v>0</v>
      </c>
      <c r="G167" s="204">
        <v>0</v>
      </c>
      <c r="H167" s="204">
        <v>0</v>
      </c>
      <c r="I167" s="204">
        <v>0</v>
      </c>
      <c r="J167" s="204">
        <v>0</v>
      </c>
      <c r="K167" s="204">
        <v>0</v>
      </c>
      <c r="L167" s="204">
        <v>0</v>
      </c>
      <c r="M167" s="204">
        <v>0</v>
      </c>
      <c r="N167" s="204">
        <f>+Debt!N175+Debt!N182</f>
        <v>0</v>
      </c>
      <c r="O167" s="204">
        <f>+Debt!O175+Debt!O182</f>
        <v>0</v>
      </c>
      <c r="P167" s="204">
        <f>+Debt!P175+Debt!P182</f>
        <v>0</v>
      </c>
      <c r="Q167" s="204">
        <f>+Debt!Q175+Debt!Q182</f>
        <v>0</v>
      </c>
      <c r="R167" s="204">
        <f>+Debt!R175+Debt!R182</f>
        <v>0</v>
      </c>
      <c r="S167" s="204">
        <f>+Debt!S175+Debt!S182</f>
        <v>0</v>
      </c>
      <c r="T167" s="204">
        <f>+Debt!T175+Debt!T182</f>
        <v>0</v>
      </c>
      <c r="U167" s="204">
        <f>+Debt!U175+Debt!U182</f>
        <v>0</v>
      </c>
      <c r="V167" s="204">
        <f>+Debt!V175+Debt!V182</f>
        <v>0</v>
      </c>
      <c r="W167" s="204">
        <f>+Debt!W175+Debt!W182</f>
        <v>0</v>
      </c>
      <c r="X167" s="204">
        <f>+Debt!X175+Debt!X182</f>
        <v>0</v>
      </c>
      <c r="Y167" s="204">
        <f>+Debt!Y175+Debt!Y182</f>
        <v>0</v>
      </c>
      <c r="Z167" s="204">
        <f>+Debt!AA175+Debt!AA182</f>
        <v>0</v>
      </c>
      <c r="AA167" s="204">
        <f>+Debt!AB175+Debt!AB182</f>
        <v>0</v>
      </c>
      <c r="AB167" s="204">
        <f>+Debt!AC175+Debt!AC182</f>
        <v>0</v>
      </c>
      <c r="AD167" s="8" t="str">
        <f t="shared" si="257"/>
        <v/>
      </c>
      <c r="AE167" s="785" t="s">
        <v>262</v>
      </c>
      <c r="AG167" s="221" t="s">
        <v>589</v>
      </c>
    </row>
    <row r="168" spans="1:33" ht="12" customHeight="1">
      <c r="B168" s="756" t="s">
        <v>590</v>
      </c>
      <c r="C168" s="204">
        <v>0</v>
      </c>
      <c r="D168" s="204">
        <f>+CIP!D176</f>
        <v>0</v>
      </c>
      <c r="E168" s="204">
        <f>+CIP!E176</f>
        <v>0</v>
      </c>
      <c r="F168" s="204">
        <f>+CIP!F176</f>
        <v>0</v>
      </c>
      <c r="G168" s="204">
        <f>+CIP!G176</f>
        <v>0</v>
      </c>
      <c r="H168" s="204">
        <f>+CIP!H176</f>
        <v>0</v>
      </c>
      <c r="I168" s="204">
        <f>+CIP!I176</f>
        <v>0</v>
      </c>
      <c r="J168" s="204">
        <f>+CIP!J176</f>
        <v>0</v>
      </c>
      <c r="K168" s="204">
        <f>+CIP!K176</f>
        <v>0</v>
      </c>
      <c r="L168" s="204">
        <f>+CIP!L176</f>
        <v>0</v>
      </c>
      <c r="M168" s="204">
        <f>+CIP!M176</f>
        <v>0</v>
      </c>
      <c r="N168" s="204">
        <f>+CIP!N176</f>
        <v>0</v>
      </c>
      <c r="O168" s="204">
        <f>+CIP!O176</f>
        <v>0</v>
      </c>
      <c r="P168" s="204">
        <f>+CIP!P176</f>
        <v>0</v>
      </c>
      <c r="Q168" s="204">
        <f>+CIP!Q176</f>
        <v>0</v>
      </c>
      <c r="R168" s="204">
        <f>+CIP!R176</f>
        <v>0</v>
      </c>
      <c r="S168" s="204">
        <f>+CIP!S176</f>
        <v>0</v>
      </c>
      <c r="T168" s="204">
        <f>+CIP!T176</f>
        <v>0</v>
      </c>
      <c r="U168" s="204">
        <f>+CIP!U176</f>
        <v>0</v>
      </c>
      <c r="V168" s="204">
        <f>+CIP!V176</f>
        <v>0</v>
      </c>
      <c r="W168" s="204">
        <f>+CIP!W176</f>
        <v>0</v>
      </c>
      <c r="X168" s="204">
        <f>+CIP!X176</f>
        <v>0</v>
      </c>
      <c r="Y168" s="204">
        <f>+CIP!Y176</f>
        <v>0</v>
      </c>
      <c r="Z168" s="204">
        <f>+CIP!AA176</f>
        <v>0</v>
      </c>
      <c r="AA168" s="204">
        <v>0</v>
      </c>
      <c r="AB168" s="204">
        <f>+CIP!AC176</f>
        <v>0</v>
      </c>
      <c r="AD168" s="143" t="str">
        <f t="shared" si="257"/>
        <v/>
      </c>
      <c r="AE168" s="783" t="s">
        <v>555</v>
      </c>
      <c r="AG168" s="221" t="s">
        <v>591</v>
      </c>
    </row>
    <row r="169" spans="1:33" ht="12" customHeight="1">
      <c r="B169" s="37" t="s">
        <v>153</v>
      </c>
      <c r="C169" s="204">
        <v>0</v>
      </c>
      <c r="D169" s="204">
        <v>0</v>
      </c>
      <c r="E169" s="204">
        <v>0</v>
      </c>
      <c r="F169" s="204">
        <v>0</v>
      </c>
      <c r="G169" s="204">
        <v>0</v>
      </c>
      <c r="H169" s="204">
        <v>0</v>
      </c>
      <c r="I169" s="204">
        <v>0</v>
      </c>
      <c r="J169" s="204">
        <v>0</v>
      </c>
      <c r="K169" s="204">
        <v>0</v>
      </c>
      <c r="L169" s="204">
        <v>0</v>
      </c>
      <c r="M169" s="204">
        <v>0</v>
      </c>
      <c r="N169" s="204">
        <v>0</v>
      </c>
      <c r="O169" s="204">
        <v>0</v>
      </c>
      <c r="P169" s="204">
        <v>0</v>
      </c>
      <c r="Q169" s="204">
        <v>0</v>
      </c>
      <c r="R169" s="204">
        <v>0</v>
      </c>
      <c r="S169" s="204">
        <v>0</v>
      </c>
      <c r="T169" s="204">
        <v>0</v>
      </c>
      <c r="U169" s="204">
        <v>0</v>
      </c>
      <c r="V169" s="204">
        <v>0</v>
      </c>
      <c r="W169" s="204">
        <v>0</v>
      </c>
      <c r="X169" s="204">
        <v>0</v>
      </c>
      <c r="Y169" s="204">
        <v>0</v>
      </c>
      <c r="Z169" s="204">
        <v>0</v>
      </c>
      <c r="AA169" s="204">
        <v>0</v>
      </c>
      <c r="AB169" s="204">
        <v>0</v>
      </c>
      <c r="AD169" s="143" t="str">
        <f t="shared" si="257"/>
        <v/>
      </c>
      <c r="AE169" s="4"/>
    </row>
    <row r="170" spans="1:33" ht="12" customHeight="1">
      <c r="B170" s="37" t="s">
        <v>592</v>
      </c>
      <c r="C170" s="204">
        <v>0</v>
      </c>
      <c r="D170" s="204">
        <v>0</v>
      </c>
      <c r="E170" s="204">
        <v>0</v>
      </c>
      <c r="F170" s="204">
        <v>0</v>
      </c>
      <c r="G170" s="204">
        <v>0</v>
      </c>
      <c r="H170" s="204">
        <v>0</v>
      </c>
      <c r="I170" s="204">
        <v>0</v>
      </c>
      <c r="J170" s="204">
        <v>0</v>
      </c>
      <c r="K170" s="204">
        <v>0</v>
      </c>
      <c r="L170" s="204">
        <v>0</v>
      </c>
      <c r="M170" s="204">
        <v>0</v>
      </c>
      <c r="N170" s="204">
        <v>0</v>
      </c>
      <c r="O170" s="204">
        <v>0</v>
      </c>
      <c r="P170" s="204">
        <v>0</v>
      </c>
      <c r="Q170" s="204">
        <v>0</v>
      </c>
      <c r="R170" s="204">
        <v>0</v>
      </c>
      <c r="S170" s="204">
        <v>0</v>
      </c>
      <c r="T170" s="204">
        <v>0</v>
      </c>
      <c r="U170" s="204">
        <v>0</v>
      </c>
      <c r="V170" s="204">
        <v>0</v>
      </c>
      <c r="W170" s="204">
        <v>0</v>
      </c>
      <c r="X170" s="204">
        <v>0</v>
      </c>
      <c r="Y170" s="204">
        <v>0</v>
      </c>
      <c r="Z170" s="204">
        <v>0</v>
      </c>
      <c r="AA170" s="204">
        <v>0</v>
      </c>
      <c r="AB170" s="204">
        <v>0</v>
      </c>
      <c r="AD170" s="143" t="str">
        <f t="shared" si="257"/>
        <v/>
      </c>
      <c r="AE170" s="4"/>
    </row>
    <row r="171" spans="1:33" ht="12" customHeight="1" thickBot="1">
      <c r="B171" s="857" t="s">
        <v>593</v>
      </c>
      <c r="C171" s="858">
        <f t="shared" ref="C171:V171" si="267">SUM(C165:C170)</f>
        <v>0</v>
      </c>
      <c r="D171" s="858">
        <f t="shared" si="267"/>
        <v>0</v>
      </c>
      <c r="E171" s="858">
        <f t="shared" si="267"/>
        <v>0</v>
      </c>
      <c r="F171" s="858">
        <f t="shared" si="267"/>
        <v>0</v>
      </c>
      <c r="G171" s="858">
        <f t="shared" si="267"/>
        <v>0</v>
      </c>
      <c r="H171" s="858">
        <f t="shared" si="267"/>
        <v>0</v>
      </c>
      <c r="I171" s="858">
        <f t="shared" si="267"/>
        <v>0</v>
      </c>
      <c r="J171" s="858">
        <f t="shared" si="267"/>
        <v>0</v>
      </c>
      <c r="K171" s="858">
        <f t="shared" si="267"/>
        <v>0</v>
      </c>
      <c r="L171" s="858">
        <f t="shared" si="267"/>
        <v>0</v>
      </c>
      <c r="M171" s="858">
        <f t="shared" si="267"/>
        <v>0</v>
      </c>
      <c r="N171" s="858">
        <f t="shared" si="267"/>
        <v>0</v>
      </c>
      <c r="O171" s="858">
        <f t="shared" si="267"/>
        <v>0</v>
      </c>
      <c r="P171" s="858">
        <f t="shared" si="267"/>
        <v>0</v>
      </c>
      <c r="Q171" s="858">
        <f t="shared" si="267"/>
        <v>0</v>
      </c>
      <c r="R171" s="858">
        <f t="shared" si="267"/>
        <v>0</v>
      </c>
      <c r="S171" s="858">
        <f t="shared" si="267"/>
        <v>0</v>
      </c>
      <c r="T171" s="858">
        <f t="shared" si="267"/>
        <v>0</v>
      </c>
      <c r="U171" s="858">
        <f t="shared" si="267"/>
        <v>0</v>
      </c>
      <c r="V171" s="858">
        <f t="shared" si="267"/>
        <v>0</v>
      </c>
      <c r="W171" s="858">
        <f t="shared" ref="W171:X171" si="268">SUM(W165:W170)</f>
        <v>0</v>
      </c>
      <c r="X171" s="858">
        <f t="shared" si="268"/>
        <v>0</v>
      </c>
      <c r="Y171" s="858">
        <f t="shared" ref="Y171:Z171" si="269">SUM(Y165:Y170)</f>
        <v>0</v>
      </c>
      <c r="Z171" s="858">
        <f t="shared" si="269"/>
        <v>0</v>
      </c>
      <c r="AA171" s="858">
        <f t="shared" ref="AA171:AB171" si="270">SUM(AA165:AA170)</f>
        <v>0</v>
      </c>
      <c r="AB171" s="858">
        <f t="shared" si="270"/>
        <v>0</v>
      </c>
      <c r="AD171" s="143" t="str">
        <f t="shared" si="257"/>
        <v/>
      </c>
    </row>
    <row r="172" spans="1:33" ht="12" customHeight="1" thickTop="1">
      <c r="B172" s="859" t="s">
        <v>594</v>
      </c>
      <c r="C172" s="860">
        <v>0</v>
      </c>
      <c r="D172" s="860">
        <v>0</v>
      </c>
      <c r="E172" s="860">
        <v>0</v>
      </c>
      <c r="F172" s="860">
        <v>0</v>
      </c>
      <c r="G172" s="860">
        <v>0</v>
      </c>
      <c r="H172" s="860">
        <v>0</v>
      </c>
      <c r="I172" s="860">
        <v>0</v>
      </c>
      <c r="J172" s="860">
        <v>0</v>
      </c>
      <c r="K172" s="860">
        <v>0</v>
      </c>
      <c r="L172" s="860">
        <v>0</v>
      </c>
      <c r="M172" s="860">
        <v>0</v>
      </c>
      <c r="N172" s="860">
        <v>0</v>
      </c>
      <c r="O172" s="860">
        <v>0</v>
      </c>
      <c r="P172" s="860">
        <v>0</v>
      </c>
      <c r="Q172" s="861">
        <v>0</v>
      </c>
      <c r="R172" s="861">
        <v>0</v>
      </c>
      <c r="S172" s="861">
        <f t="shared" ref="S172:Z172" si="271">ROUND(R172*(1+$AE172),0)</f>
        <v>0</v>
      </c>
      <c r="T172" s="861">
        <f t="shared" si="271"/>
        <v>0</v>
      </c>
      <c r="U172" s="861">
        <f t="shared" si="271"/>
        <v>0</v>
      </c>
      <c r="V172" s="861">
        <f t="shared" si="271"/>
        <v>0</v>
      </c>
      <c r="W172" s="861">
        <f t="shared" si="271"/>
        <v>0</v>
      </c>
      <c r="X172" s="861">
        <f t="shared" si="271"/>
        <v>0</v>
      </c>
      <c r="Y172" s="861">
        <f t="shared" si="271"/>
        <v>0</v>
      </c>
      <c r="Z172" s="861">
        <f t="shared" si="271"/>
        <v>0</v>
      </c>
      <c r="AA172" s="861">
        <f t="shared" ref="AA172:AB172" si="272">ROUND(Z172*(1+$AE172),0)</f>
        <v>0</v>
      </c>
      <c r="AB172" s="861">
        <f t="shared" si="272"/>
        <v>0</v>
      </c>
      <c r="AD172" s="8" t="str">
        <f t="shared" si="257"/>
        <v/>
      </c>
      <c r="AE172" s="163">
        <v>0</v>
      </c>
    </row>
    <row r="173" spans="1:33" ht="12" customHeight="1">
      <c r="C173" s="864"/>
      <c r="D173" s="864"/>
      <c r="E173" s="864"/>
      <c r="F173" s="864"/>
      <c r="G173" s="864"/>
      <c r="H173" s="864"/>
      <c r="I173" s="864"/>
      <c r="J173" s="864"/>
      <c r="K173" s="864"/>
      <c r="L173" s="864"/>
      <c r="M173" s="864"/>
      <c r="N173" s="864"/>
      <c r="O173" s="864"/>
      <c r="P173" s="864"/>
      <c r="Q173" s="726"/>
      <c r="R173" s="726"/>
      <c r="S173" s="726"/>
      <c r="T173" s="726"/>
      <c r="U173" s="726"/>
      <c r="V173" s="726"/>
      <c r="W173" s="726"/>
      <c r="X173" s="726"/>
      <c r="Y173" s="726"/>
      <c r="Z173" s="726"/>
      <c r="AA173" s="726"/>
      <c r="AB173" s="726"/>
      <c r="AC173" s="549"/>
      <c r="AD173" s="8"/>
      <c r="AE173" s="865"/>
      <c r="AF173" s="4"/>
    </row>
    <row r="174" spans="1:33" ht="12" customHeight="1" thickBot="1">
      <c r="B174" s="833" t="s">
        <v>133</v>
      </c>
      <c r="C174" s="834">
        <f t="shared" ref="C174:O174" si="273">C157-C171-C172</f>
        <v>0</v>
      </c>
      <c r="D174" s="834">
        <f t="shared" si="273"/>
        <v>0</v>
      </c>
      <c r="E174" s="834">
        <f t="shared" si="273"/>
        <v>0</v>
      </c>
      <c r="F174" s="834">
        <f t="shared" si="273"/>
        <v>0</v>
      </c>
      <c r="G174" s="834">
        <f t="shared" si="273"/>
        <v>0</v>
      </c>
      <c r="H174" s="834">
        <f t="shared" si="273"/>
        <v>0</v>
      </c>
      <c r="I174" s="834">
        <f t="shared" si="273"/>
        <v>0</v>
      </c>
      <c r="J174" s="834">
        <f t="shared" si="273"/>
        <v>0</v>
      </c>
      <c r="K174" s="834">
        <f t="shared" si="273"/>
        <v>0</v>
      </c>
      <c r="L174" s="834">
        <f t="shared" si="273"/>
        <v>0</v>
      </c>
      <c r="M174" s="834">
        <f t="shared" si="273"/>
        <v>0</v>
      </c>
      <c r="N174" s="834">
        <f t="shared" si="273"/>
        <v>0</v>
      </c>
      <c r="O174" s="834">
        <f t="shared" si="273"/>
        <v>0</v>
      </c>
      <c r="P174" s="834">
        <f>P157-P171-P172</f>
        <v>0</v>
      </c>
      <c r="Q174" s="834">
        <f t="shared" ref="Q174:W174" si="274">Q157-Q171-Q172</f>
        <v>0</v>
      </c>
      <c r="R174" s="834">
        <f t="shared" si="274"/>
        <v>0</v>
      </c>
      <c r="S174" s="834">
        <f t="shared" si="274"/>
        <v>0</v>
      </c>
      <c r="T174" s="834">
        <f t="shared" si="274"/>
        <v>0</v>
      </c>
      <c r="U174" s="834">
        <f t="shared" si="274"/>
        <v>0</v>
      </c>
      <c r="V174" s="834">
        <f t="shared" si="274"/>
        <v>0</v>
      </c>
      <c r="W174" s="834">
        <f t="shared" si="274"/>
        <v>0</v>
      </c>
      <c r="X174" s="834">
        <f t="shared" ref="X174:Y174" si="275">X157-X171-X172</f>
        <v>0</v>
      </c>
      <c r="Y174" s="834">
        <f t="shared" si="275"/>
        <v>0</v>
      </c>
      <c r="Z174" s="834">
        <f t="shared" ref="Z174:AB174" si="276">Z157-Z171-Z172</f>
        <v>0</v>
      </c>
      <c r="AA174" s="834">
        <f t="shared" si="276"/>
        <v>0</v>
      </c>
      <c r="AB174" s="834">
        <f t="shared" si="276"/>
        <v>0</v>
      </c>
    </row>
    <row r="175" spans="1:33" ht="12" customHeight="1" thickTop="1"/>
    <row r="176" spans="1:33" ht="12" customHeight="1">
      <c r="B176" s="108" t="s">
        <v>437</v>
      </c>
      <c r="C176" s="106">
        <v>2006</v>
      </c>
      <c r="D176" s="106">
        <v>2007</v>
      </c>
      <c r="E176" s="106">
        <v>2008</v>
      </c>
      <c r="F176" s="106">
        <v>2009</v>
      </c>
      <c r="G176" s="106">
        <v>2010</v>
      </c>
      <c r="H176" s="106">
        <v>2011</v>
      </c>
      <c r="I176" s="106">
        <v>2012</v>
      </c>
      <c r="J176" s="106">
        <v>2013</v>
      </c>
      <c r="K176" s="106">
        <v>2014</v>
      </c>
      <c r="L176" s="106">
        <v>2015</v>
      </c>
      <c r="M176" s="106">
        <v>2016</v>
      </c>
      <c r="N176" s="106">
        <v>2017</v>
      </c>
      <c r="O176" s="106">
        <v>2018</v>
      </c>
      <c r="P176" s="106">
        <v>2019</v>
      </c>
      <c r="Q176" s="106">
        <v>2020</v>
      </c>
      <c r="R176" s="106">
        <v>2021</v>
      </c>
      <c r="S176" s="106">
        <v>2022</v>
      </c>
      <c r="T176" s="106">
        <v>2023</v>
      </c>
      <c r="U176" s="106">
        <v>2024</v>
      </c>
      <c r="V176" s="106">
        <v>2025</v>
      </c>
      <c r="W176" s="106">
        <v>2026</v>
      </c>
      <c r="X176" s="106">
        <v>2027</v>
      </c>
      <c r="Y176" s="106">
        <v>2028</v>
      </c>
      <c r="Z176" s="106">
        <v>2029</v>
      </c>
      <c r="AA176" s="106">
        <v>2030</v>
      </c>
      <c r="AB176" s="106">
        <v>2031</v>
      </c>
    </row>
    <row r="177" spans="1:33" s="159" customFormat="1" ht="12" customHeight="1">
      <c r="A177" s="224"/>
      <c r="B177" s="158" t="s">
        <v>595</v>
      </c>
      <c r="C177" s="694">
        <v>38534</v>
      </c>
      <c r="D177" s="694">
        <v>38899</v>
      </c>
      <c r="E177" s="694">
        <v>39264</v>
      </c>
      <c r="F177" s="694">
        <v>39630</v>
      </c>
      <c r="G177" s="694">
        <v>39995</v>
      </c>
      <c r="H177" s="694">
        <v>40360</v>
      </c>
      <c r="I177" s="694">
        <v>40725</v>
      </c>
      <c r="J177" s="694">
        <v>41091</v>
      </c>
      <c r="K177" s="694">
        <v>41456</v>
      </c>
      <c r="L177" s="694">
        <v>41821</v>
      </c>
      <c r="M177" s="694">
        <v>42186</v>
      </c>
      <c r="N177" s="694" t="s">
        <v>439</v>
      </c>
      <c r="O177" s="694" t="s">
        <v>440</v>
      </c>
      <c r="P177" s="694" t="s">
        <v>441</v>
      </c>
      <c r="Q177" s="694" t="s">
        <v>442</v>
      </c>
      <c r="R177" s="694" t="s">
        <v>443</v>
      </c>
      <c r="S177" s="694" t="s">
        <v>444</v>
      </c>
      <c r="T177" s="694" t="s">
        <v>445</v>
      </c>
      <c r="U177" s="694" t="s">
        <v>446</v>
      </c>
      <c r="V177" s="693" t="s">
        <v>447</v>
      </c>
      <c r="W177" s="693" t="s">
        <v>448</v>
      </c>
      <c r="X177" s="693" t="s">
        <v>449</v>
      </c>
      <c r="Y177" s="693" t="s">
        <v>450</v>
      </c>
      <c r="Z177" s="693" t="s">
        <v>451</v>
      </c>
      <c r="AA177" s="693" t="s">
        <v>452</v>
      </c>
      <c r="AB177" s="693" t="s">
        <v>453</v>
      </c>
      <c r="AC177" s="144"/>
      <c r="AD177" s="143"/>
      <c r="AE177" s="143"/>
      <c r="AG177" s="224"/>
    </row>
    <row r="178" spans="1:33" s="160" customFormat="1" ht="12" customHeight="1">
      <c r="A178" s="225"/>
      <c r="B178" s="367" t="s">
        <v>596</v>
      </c>
      <c r="C178" s="204">
        <v>0</v>
      </c>
      <c r="D178" s="204">
        <v>0</v>
      </c>
      <c r="E178" s="204">
        <v>0</v>
      </c>
      <c r="F178" s="204">
        <v>0</v>
      </c>
      <c r="G178" s="204">
        <v>0</v>
      </c>
      <c r="H178" s="204">
        <v>0</v>
      </c>
      <c r="I178" s="204">
        <v>0</v>
      </c>
      <c r="J178" s="204">
        <v>0</v>
      </c>
      <c r="K178" s="204">
        <v>0</v>
      </c>
      <c r="L178" s="204">
        <v>0</v>
      </c>
      <c r="M178" s="204">
        <v>0</v>
      </c>
      <c r="N178" s="204">
        <v>0</v>
      </c>
      <c r="O178" s="204">
        <v>0</v>
      </c>
      <c r="P178" s="204">
        <v>0</v>
      </c>
      <c r="Q178" s="204">
        <v>0</v>
      </c>
      <c r="R178" s="204">
        <v>0</v>
      </c>
      <c r="S178" s="204">
        <v>0</v>
      </c>
      <c r="T178" s="204">
        <v>0</v>
      </c>
      <c r="U178" s="204">
        <v>0</v>
      </c>
      <c r="V178" s="204">
        <v>0</v>
      </c>
      <c r="W178" s="204">
        <v>0</v>
      </c>
      <c r="X178" s="204">
        <v>0</v>
      </c>
      <c r="Y178" s="204">
        <v>0</v>
      </c>
      <c r="Z178" s="204">
        <v>0</v>
      </c>
      <c r="AA178" s="204">
        <v>0</v>
      </c>
      <c r="AB178" s="204">
        <v>0</v>
      </c>
      <c r="AC178" s="13"/>
      <c r="AD178" s="143"/>
      <c r="AE178" s="143"/>
      <c r="AG178" s="884"/>
    </row>
    <row r="179" spans="1:33" s="160" customFormat="1" ht="12" customHeight="1">
      <c r="A179" s="225"/>
      <c r="B179" s="804" t="s">
        <v>597</v>
      </c>
      <c r="C179" s="939" t="str">
        <f>IFERROR(C178/C153,"")</f>
        <v/>
      </c>
      <c r="D179" s="939" t="str">
        <f t="shared" ref="D179:W179" si="277">IFERROR(D178/D153,"")</f>
        <v/>
      </c>
      <c r="E179" s="939" t="str">
        <f t="shared" si="277"/>
        <v/>
      </c>
      <c r="F179" s="939" t="str">
        <f t="shared" si="277"/>
        <v/>
      </c>
      <c r="G179" s="939" t="str">
        <f t="shared" si="277"/>
        <v/>
      </c>
      <c r="H179" s="939" t="str">
        <f t="shared" si="277"/>
        <v/>
      </c>
      <c r="I179" s="939" t="str">
        <f t="shared" si="277"/>
        <v/>
      </c>
      <c r="J179" s="939" t="str">
        <f t="shared" si="277"/>
        <v/>
      </c>
      <c r="K179" s="939" t="str">
        <f t="shared" si="277"/>
        <v/>
      </c>
      <c r="L179" s="939" t="str">
        <f t="shared" si="277"/>
        <v/>
      </c>
      <c r="M179" s="939" t="str">
        <f t="shared" si="277"/>
        <v/>
      </c>
      <c r="N179" s="939" t="str">
        <f t="shared" si="277"/>
        <v/>
      </c>
      <c r="O179" s="939" t="str">
        <f t="shared" si="277"/>
        <v/>
      </c>
      <c r="P179" s="939" t="str">
        <f t="shared" si="277"/>
        <v/>
      </c>
      <c r="Q179" s="939" t="str">
        <f t="shared" si="277"/>
        <v/>
      </c>
      <c r="R179" s="939" t="str">
        <f t="shared" si="277"/>
        <v/>
      </c>
      <c r="S179" s="939" t="str">
        <f t="shared" si="277"/>
        <v/>
      </c>
      <c r="T179" s="939" t="str">
        <f t="shared" si="277"/>
        <v/>
      </c>
      <c r="U179" s="939" t="str">
        <f t="shared" si="277"/>
        <v/>
      </c>
      <c r="V179" s="939" t="str">
        <f t="shared" si="277"/>
        <v/>
      </c>
      <c r="W179" s="939" t="str">
        <f t="shared" si="277"/>
        <v/>
      </c>
      <c r="X179" s="939" t="str">
        <f t="shared" ref="X179:Y179" si="278">IFERROR(X178/X153,"")</f>
        <v/>
      </c>
      <c r="Y179" s="939" t="str">
        <f t="shared" si="278"/>
        <v/>
      </c>
      <c r="Z179" s="939" t="str">
        <f t="shared" ref="Z179:AB179" si="279">IFERROR(Z178/Z153,"")</f>
        <v/>
      </c>
      <c r="AA179" s="939" t="str">
        <f t="shared" si="279"/>
        <v/>
      </c>
      <c r="AB179" s="939" t="str">
        <f t="shared" si="279"/>
        <v/>
      </c>
      <c r="AC179" s="13"/>
      <c r="AD179" s="143"/>
      <c r="AE179" s="143"/>
      <c r="AG179" s="884" t="s">
        <v>598</v>
      </c>
    </row>
    <row r="180" spans="1:33" s="160" customFormat="1" ht="12" customHeight="1">
      <c r="A180" s="225"/>
      <c r="B180" s="166"/>
      <c r="C180" s="13"/>
      <c r="D180" s="13"/>
      <c r="E180" s="13"/>
      <c r="F180" s="13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3"/>
      <c r="AD180" s="143"/>
      <c r="AE180" s="143"/>
      <c r="AG180" s="884" t="s">
        <v>599</v>
      </c>
    </row>
    <row r="181" spans="1:33" ht="12" customHeight="1">
      <c r="A181" s="221" t="s">
        <v>142</v>
      </c>
      <c r="B181" s="1044" t="s">
        <v>600</v>
      </c>
      <c r="C181" s="1045"/>
      <c r="D181" s="1045"/>
      <c r="E181" s="1045"/>
      <c r="F181" s="1045"/>
      <c r="G181" s="1045"/>
      <c r="H181" s="1045"/>
      <c r="I181" s="1045"/>
      <c r="J181" s="1045"/>
      <c r="K181" s="1045"/>
      <c r="L181" s="1045"/>
      <c r="M181" s="1045"/>
      <c r="N181" s="1045"/>
      <c r="O181" s="1045"/>
      <c r="P181" s="1045"/>
      <c r="Q181" s="1045"/>
      <c r="R181" s="1045"/>
      <c r="S181" s="1045"/>
      <c r="T181" s="1045"/>
      <c r="U181" s="1045"/>
      <c r="V181" s="1045"/>
      <c r="W181"/>
      <c r="X181"/>
      <c r="Y181"/>
      <c r="Z181"/>
      <c r="AA181"/>
      <c r="AB181"/>
      <c r="AG181" s="884" t="s">
        <v>601</v>
      </c>
    </row>
    <row r="182" spans="1:33" ht="12" customHeight="1">
      <c r="A182" s="230" t="s">
        <v>217</v>
      </c>
      <c r="B182" s="231" t="s">
        <v>602</v>
      </c>
    </row>
    <row r="183" spans="1:33" ht="12" customHeight="1"/>
    <row r="184" spans="1:33" ht="12" customHeight="1">
      <c r="M184" s="144"/>
      <c r="N184" s="144"/>
      <c r="O184" s="144"/>
      <c r="P184" s="144"/>
    </row>
  </sheetData>
  <mergeCells count="1">
    <mergeCell ref="B181:V181"/>
  </mergeCells>
  <phoneticPr fontId="40" type="noConversion"/>
  <hyperlinks>
    <hyperlink ref="AE25" location="CIP!A1" display="See CIP" xr:uid="{00000000-0004-0000-0A00-000000000000}"/>
    <hyperlink ref="AF22" location="COLA!A1" display="See COLA" xr:uid="{F07F84E2-286C-4E37-A2AC-2F790F41DB86}"/>
    <hyperlink ref="AE22" location="'Position Control'!A1" display="See Position Control" xr:uid="{DC40B7F5-6C5D-400B-9F20-B95FFC236640}"/>
    <hyperlink ref="AE24" location="Debt!A1" display="See Debt" xr:uid="{A68FF503-DCC9-4CD2-807D-D5757164BC3F}"/>
    <hyperlink ref="AE57" location="'Position Control'!A1" display="See Position Control" xr:uid="{4B06DBC9-3495-45B7-9E4A-A9088C726F94}"/>
    <hyperlink ref="AE59" location="Debt!A1" display="See Debt" xr:uid="{A8FD5563-6E0F-4BC3-AEC1-37F0E2A1CAF2}"/>
    <hyperlink ref="AE60" location="CIP!A1" display="See CIP" xr:uid="{B1727403-1CF7-4254-9D53-1C53AC66B6A6}"/>
    <hyperlink ref="AE92" location="'Position Control'!A1" display="See Position Control" xr:uid="{8EE5B671-DF42-4ADD-B199-C35B51AD8F82}"/>
    <hyperlink ref="AE94" location="Debt!A1" display="See Debt" xr:uid="{8573864A-D9CB-4DD4-A91A-9641723DA812}"/>
    <hyperlink ref="AE95" location="CIP!A1" display="See CIP" xr:uid="{B1897D32-524B-4B82-AB2B-2FD5A7E7C6A8}"/>
    <hyperlink ref="AE130" location="'Position Control'!A1" display="See Position Control" xr:uid="{42157C9C-D5C4-49FF-B438-DF0A8F58F790}"/>
    <hyperlink ref="AE132" location="Debt!A1" display="See Debt" xr:uid="{15449A27-0C3A-42FD-B5F2-61B138631D7B}"/>
    <hyperlink ref="AE133" location="CIP!A1" display="See CIP" xr:uid="{98CDA6DA-F0EA-4FBE-B273-1EBEE57D7264}"/>
    <hyperlink ref="AE165" location="'Position Control'!A1" display="See Position Control" xr:uid="{89BF22DE-3BF7-42BC-A728-C1078342904D}"/>
    <hyperlink ref="AE167" location="Debt!A1" display="See Debt" xr:uid="{40CC0E95-59AA-4CA2-94FF-2A4E26C944D7}"/>
    <hyperlink ref="AE168" location="CIP!A1" display="See CIP" xr:uid="{3254FDE6-DBAF-4824-B2DA-C502A063538E}"/>
  </hyperlinks>
  <pageMargins left="0.25" right="0.25" top="0.5" bottom="0.5" header="0.3" footer="0.3"/>
  <pageSetup scale="90" fitToHeight="2" orientation="landscape" r:id="rId1"/>
  <headerFooter>
    <oddFooter>&amp;L&amp;9&amp;A&amp;C&amp;10page &amp;P of &amp;N&amp;R&amp;9&amp;D</oddFooter>
  </headerFooter>
  <rowBreaks count="1" manualBreakCount="1">
    <brk id="37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F56"/>
  <sheetViews>
    <sheetView showGridLines="0" zoomScaleNormal="100" zoomScaleSheetLayoutView="110" workbookViewId="0">
      <pane xSplit="2" ySplit="5" topLeftCell="N6" activePane="bottomRight" state="frozen"/>
      <selection pane="bottomRight" activeCell="AB20" sqref="AB20"/>
      <selection pane="bottomLeft" activeCell="A6" sqref="A6"/>
      <selection pane="topRight" activeCell="C1" sqref="C1"/>
    </sheetView>
  </sheetViews>
  <sheetFormatPr defaultColWidth="8.75" defaultRowHeight="15.75"/>
  <cols>
    <col min="1" max="1" width="2.5" style="400" customWidth="1"/>
    <col min="2" max="2" width="35.75" style="164" customWidth="1"/>
    <col min="3" max="12" width="5.625" style="164" bestFit="1" customWidth="1"/>
    <col min="13" max="13" width="5.625" style="400" bestFit="1" customWidth="1"/>
    <col min="14" max="14" width="6.625" style="400" customWidth="1"/>
    <col min="15" max="18" width="6.625" style="400" bestFit="1" customWidth="1"/>
    <col min="19" max="22" width="8.125" style="400" bestFit="1" customWidth="1"/>
    <col min="23" max="26" width="8.125" style="400" customWidth="1"/>
    <col min="27" max="27" width="1.625" style="400" customWidth="1"/>
    <col min="30" max="30" width="7.375" style="401" bestFit="1" customWidth="1"/>
    <col min="31" max="31" width="10.875" style="401" bestFit="1" customWidth="1"/>
    <col min="32" max="32" width="32.625" style="400" bestFit="1" customWidth="1"/>
    <col min="33" max="33" width="6" style="400" bestFit="1" customWidth="1"/>
    <col min="34" max="34" width="32.625" style="400" bestFit="1" customWidth="1"/>
    <col min="35" max="35" width="11.125" style="400" customWidth="1"/>
    <col min="36" max="16384" width="8.75" style="400"/>
  </cols>
  <sheetData>
    <row r="1" spans="1:32">
      <c r="A1" s="404"/>
      <c r="B1" s="413" t="str">
        <f>Summary!B1</f>
        <v>Municipality of Berkley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D1" s="414"/>
      <c r="AE1" s="414"/>
      <c r="AF1" s="404"/>
    </row>
    <row r="2" spans="1:32">
      <c r="A2" s="404"/>
      <c r="B2" s="402" t="s">
        <v>603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D2" s="415"/>
      <c r="AE2" s="415"/>
      <c r="AF2" s="404"/>
    </row>
    <row r="3" spans="1:32" s="406" customFormat="1" ht="12">
      <c r="A3" s="407"/>
      <c r="B3" s="431"/>
      <c r="C3" s="402"/>
      <c r="D3" s="402"/>
      <c r="E3" s="402"/>
      <c r="F3" s="402"/>
      <c r="G3" s="402"/>
      <c r="H3" s="432"/>
      <c r="I3" s="432"/>
      <c r="J3" s="432"/>
      <c r="K3" s="432"/>
      <c r="L3" s="432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D3" s="633"/>
      <c r="AE3" s="634"/>
      <c r="AF3" s="407"/>
    </row>
    <row r="4" spans="1:32" s="401" customFormat="1" ht="12">
      <c r="A4" s="414"/>
      <c r="B4" s="433"/>
      <c r="C4" s="434" t="s">
        <v>82</v>
      </c>
      <c r="D4" s="434" t="s">
        <v>83</v>
      </c>
      <c r="E4" s="434" t="s">
        <v>84</v>
      </c>
      <c r="F4" s="434" t="s">
        <v>85</v>
      </c>
      <c r="G4" s="434" t="s">
        <v>86</v>
      </c>
      <c r="H4" s="434" t="s">
        <v>87</v>
      </c>
      <c r="I4" s="434" t="s">
        <v>88</v>
      </c>
      <c r="J4" s="434" t="s">
        <v>89</v>
      </c>
      <c r="K4" s="434" t="s">
        <v>90</v>
      </c>
      <c r="L4" s="434" t="s">
        <v>91</v>
      </c>
      <c r="M4" s="434" t="s">
        <v>92</v>
      </c>
      <c r="N4" s="449" t="s">
        <v>93</v>
      </c>
      <c r="O4" s="449" t="s">
        <v>94</v>
      </c>
      <c r="P4" s="449" t="s">
        <v>95</v>
      </c>
      <c r="Q4" s="449" t="s">
        <v>96</v>
      </c>
      <c r="R4" s="449" t="s">
        <v>97</v>
      </c>
      <c r="S4" s="449" t="s">
        <v>98</v>
      </c>
      <c r="T4" s="449" t="s">
        <v>99</v>
      </c>
      <c r="U4" s="449" t="s">
        <v>100</v>
      </c>
      <c r="V4" s="449" t="s">
        <v>101</v>
      </c>
      <c r="W4" s="449" t="s">
        <v>102</v>
      </c>
      <c r="X4" s="449" t="s">
        <v>103</v>
      </c>
      <c r="Y4" s="449" t="s">
        <v>104</v>
      </c>
      <c r="Z4" s="449" t="s">
        <v>105</v>
      </c>
      <c r="AA4" s="414"/>
      <c r="AD4" s="260" t="s">
        <v>212</v>
      </c>
      <c r="AE4" s="260" t="s">
        <v>157</v>
      </c>
      <c r="AF4" s="414"/>
    </row>
    <row r="5" spans="1:32" s="405" customFormat="1" ht="12" customHeight="1">
      <c r="A5" s="415"/>
      <c r="B5" s="419"/>
      <c r="C5" s="434" t="s">
        <v>158</v>
      </c>
      <c r="D5" s="434" t="s">
        <v>158</v>
      </c>
      <c r="E5" s="434" t="s">
        <v>158</v>
      </c>
      <c r="F5" s="434" t="s">
        <v>158</v>
      </c>
      <c r="G5" s="434" t="s">
        <v>158</v>
      </c>
      <c r="H5" s="434" t="s">
        <v>158</v>
      </c>
      <c r="I5" s="434" t="s">
        <v>158</v>
      </c>
      <c r="J5" s="434" t="s">
        <v>158</v>
      </c>
      <c r="K5" s="434" t="s">
        <v>158</v>
      </c>
      <c r="L5" s="434" t="s">
        <v>158</v>
      </c>
      <c r="M5" s="434" t="s">
        <v>158</v>
      </c>
      <c r="N5" s="449" t="s">
        <v>158</v>
      </c>
      <c r="O5" s="449" t="s">
        <v>158</v>
      </c>
      <c r="P5" s="449" t="s">
        <v>158</v>
      </c>
      <c r="Q5" s="449" t="s">
        <v>158</v>
      </c>
      <c r="R5" s="449" t="s">
        <v>158</v>
      </c>
      <c r="S5" s="449" t="s">
        <v>158</v>
      </c>
      <c r="T5" s="449" t="s">
        <v>158</v>
      </c>
      <c r="U5" s="449" t="s">
        <v>158</v>
      </c>
      <c r="V5" s="449" t="s">
        <v>159</v>
      </c>
      <c r="W5" s="449" t="s">
        <v>159</v>
      </c>
      <c r="X5" s="449" t="s">
        <v>159</v>
      </c>
      <c r="Y5" s="449" t="s">
        <v>159</v>
      </c>
      <c r="Z5" s="449" t="s">
        <v>159</v>
      </c>
      <c r="AA5" s="415"/>
      <c r="AD5" s="260" t="s">
        <v>213</v>
      </c>
      <c r="AE5" s="260" t="s">
        <v>160</v>
      </c>
      <c r="AF5" s="415"/>
    </row>
    <row r="6" spans="1:32" s="408" customFormat="1" ht="12" customHeight="1">
      <c r="A6" s="417" t="s">
        <v>142</v>
      </c>
      <c r="B6" s="409" t="s">
        <v>604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09"/>
      <c r="AD6" s="418"/>
      <c r="AE6" s="418"/>
      <c r="AF6" s="419"/>
    </row>
    <row r="7" spans="1:32" s="164" customFormat="1" ht="12" customHeight="1">
      <c r="A7" s="403"/>
      <c r="B7" s="435" t="s">
        <v>200</v>
      </c>
      <c r="C7" s="445">
        <v>0</v>
      </c>
      <c r="D7" s="445">
        <v>0</v>
      </c>
      <c r="E7" s="445">
        <v>0</v>
      </c>
      <c r="F7" s="445">
        <v>0</v>
      </c>
      <c r="G7" s="445">
        <v>0</v>
      </c>
      <c r="H7" s="445">
        <v>0</v>
      </c>
      <c r="I7" s="445">
        <v>0</v>
      </c>
      <c r="J7" s="445">
        <v>0</v>
      </c>
      <c r="K7" s="445">
        <v>0</v>
      </c>
      <c r="L7" s="445">
        <v>0</v>
      </c>
      <c r="M7" s="445">
        <v>0</v>
      </c>
      <c r="N7" s="445">
        <v>0</v>
      </c>
      <c r="O7" s="445">
        <v>0</v>
      </c>
      <c r="P7" s="445">
        <v>0</v>
      </c>
      <c r="Q7" s="444">
        <v>0</v>
      </c>
      <c r="R7" s="444">
        <v>0</v>
      </c>
      <c r="S7" s="444">
        <f t="shared" ref="S7:Z7" si="0">ROUND(R7+(R7*$AE$7),0)</f>
        <v>0</v>
      </c>
      <c r="T7" s="444">
        <f t="shared" si="0"/>
        <v>0</v>
      </c>
      <c r="U7" s="444">
        <f t="shared" si="0"/>
        <v>0</v>
      </c>
      <c r="V7" s="444">
        <f t="shared" si="0"/>
        <v>0</v>
      </c>
      <c r="W7" s="444">
        <f t="shared" si="0"/>
        <v>0</v>
      </c>
      <c r="X7" s="444">
        <f t="shared" si="0"/>
        <v>0</v>
      </c>
      <c r="Y7" s="444">
        <f t="shared" si="0"/>
        <v>0</v>
      </c>
      <c r="Z7" s="444">
        <f t="shared" si="0"/>
        <v>0</v>
      </c>
      <c r="AA7" s="420"/>
      <c r="AD7" s="421" t="str">
        <f t="shared" ref="AD7:AD13" si="1">IFERROR(AVERAGE((M7-L7)/L7,(N7-M7)/M7,(O7-N7)/N7,(P7-O7)/O7,(Q7-P7)/P7),"")</f>
        <v/>
      </c>
      <c r="AE7" s="446">
        <v>0</v>
      </c>
      <c r="AF7" s="403"/>
    </row>
    <row r="8" spans="1:32" s="164" customFormat="1" ht="12" customHeight="1">
      <c r="A8" s="403"/>
      <c r="B8" s="435" t="s">
        <v>605</v>
      </c>
      <c r="C8" s="445">
        <v>0</v>
      </c>
      <c r="D8" s="445">
        <v>0</v>
      </c>
      <c r="E8" s="445">
        <v>0</v>
      </c>
      <c r="F8" s="445">
        <v>0</v>
      </c>
      <c r="G8" s="445">
        <v>0</v>
      </c>
      <c r="H8" s="445">
        <v>0</v>
      </c>
      <c r="I8" s="445">
        <v>0</v>
      </c>
      <c r="J8" s="445">
        <v>0</v>
      </c>
      <c r="K8" s="445">
        <v>0</v>
      </c>
      <c r="L8" s="445">
        <v>0</v>
      </c>
      <c r="M8" s="445">
        <v>0</v>
      </c>
      <c r="N8" s="445">
        <v>0</v>
      </c>
      <c r="O8" s="445">
        <v>0</v>
      </c>
      <c r="P8" s="445">
        <v>0</v>
      </c>
      <c r="Q8" s="444">
        <v>0</v>
      </c>
      <c r="R8" s="444">
        <v>0</v>
      </c>
      <c r="S8" s="444">
        <f t="shared" ref="S8:Z8" si="2">ROUND(R8+(R8*$AE$8),0)</f>
        <v>0</v>
      </c>
      <c r="T8" s="444">
        <f t="shared" si="2"/>
        <v>0</v>
      </c>
      <c r="U8" s="444">
        <f t="shared" si="2"/>
        <v>0</v>
      </c>
      <c r="V8" s="444">
        <f t="shared" si="2"/>
        <v>0</v>
      </c>
      <c r="W8" s="444">
        <f t="shared" si="2"/>
        <v>0</v>
      </c>
      <c r="X8" s="444">
        <f t="shared" si="2"/>
        <v>0</v>
      </c>
      <c r="Y8" s="444">
        <f t="shared" si="2"/>
        <v>0</v>
      </c>
      <c r="Z8" s="444">
        <f t="shared" si="2"/>
        <v>0</v>
      </c>
      <c r="AA8" s="420"/>
      <c r="AD8" s="421" t="str">
        <f t="shared" si="1"/>
        <v/>
      </c>
      <c r="AE8" s="446">
        <v>0</v>
      </c>
      <c r="AF8" s="403"/>
    </row>
    <row r="9" spans="1:32" s="164" customFormat="1" ht="12" customHeight="1">
      <c r="A9" s="403"/>
      <c r="B9" s="435" t="s">
        <v>606</v>
      </c>
      <c r="C9" s="445">
        <v>0</v>
      </c>
      <c r="D9" s="445">
        <v>0</v>
      </c>
      <c r="E9" s="445">
        <v>0</v>
      </c>
      <c r="F9" s="445">
        <v>0</v>
      </c>
      <c r="G9" s="445">
        <v>0</v>
      </c>
      <c r="H9" s="445">
        <v>0</v>
      </c>
      <c r="I9" s="445">
        <v>0</v>
      </c>
      <c r="J9" s="445">
        <v>0</v>
      </c>
      <c r="K9" s="445">
        <v>0</v>
      </c>
      <c r="L9" s="445">
        <v>0</v>
      </c>
      <c r="M9" s="445">
        <v>0</v>
      </c>
      <c r="N9" s="445">
        <v>0</v>
      </c>
      <c r="O9" s="445">
        <v>0</v>
      </c>
      <c r="P9" s="445">
        <v>0</v>
      </c>
      <c r="Q9" s="444">
        <v>0</v>
      </c>
      <c r="R9" s="444">
        <v>0</v>
      </c>
      <c r="S9" s="444">
        <f t="shared" ref="S9:Z9" si="3">ROUND(R9+(R9*$AE$9),0)</f>
        <v>0</v>
      </c>
      <c r="T9" s="444">
        <f t="shared" si="3"/>
        <v>0</v>
      </c>
      <c r="U9" s="444">
        <f t="shared" si="3"/>
        <v>0</v>
      </c>
      <c r="V9" s="444">
        <f t="shared" si="3"/>
        <v>0</v>
      </c>
      <c r="W9" s="444">
        <f t="shared" si="3"/>
        <v>0</v>
      </c>
      <c r="X9" s="444">
        <f t="shared" si="3"/>
        <v>0</v>
      </c>
      <c r="Y9" s="444">
        <f t="shared" si="3"/>
        <v>0</v>
      </c>
      <c r="Z9" s="444">
        <f t="shared" si="3"/>
        <v>0</v>
      </c>
      <c r="AA9" s="420"/>
      <c r="AD9" s="421" t="str">
        <f t="shared" si="1"/>
        <v/>
      </c>
      <c r="AE9" s="446">
        <v>0</v>
      </c>
      <c r="AF9" s="403"/>
    </row>
    <row r="10" spans="1:32" s="164" customFormat="1" ht="12" customHeight="1">
      <c r="A10" s="403"/>
      <c r="B10" s="450" t="s">
        <v>607</v>
      </c>
      <c r="C10" s="451">
        <f t="shared" ref="C10" si="4">SUM(C7:C9)</f>
        <v>0</v>
      </c>
      <c r="D10" s="451">
        <f t="shared" ref="D10:P10" si="5">SUM(D7:D9)</f>
        <v>0</v>
      </c>
      <c r="E10" s="451">
        <f t="shared" si="5"/>
        <v>0</v>
      </c>
      <c r="F10" s="451">
        <f t="shared" si="5"/>
        <v>0</v>
      </c>
      <c r="G10" s="451">
        <f t="shared" si="5"/>
        <v>0</v>
      </c>
      <c r="H10" s="451">
        <f t="shared" si="5"/>
        <v>0</v>
      </c>
      <c r="I10" s="451">
        <f t="shared" si="5"/>
        <v>0</v>
      </c>
      <c r="J10" s="451">
        <f t="shared" si="5"/>
        <v>0</v>
      </c>
      <c r="K10" s="451">
        <f t="shared" si="5"/>
        <v>0</v>
      </c>
      <c r="L10" s="451">
        <f t="shared" si="5"/>
        <v>0</v>
      </c>
      <c r="M10" s="451">
        <f t="shared" si="5"/>
        <v>0</v>
      </c>
      <c r="N10" s="451">
        <f t="shared" si="5"/>
        <v>0</v>
      </c>
      <c r="O10" s="451">
        <f t="shared" si="5"/>
        <v>0</v>
      </c>
      <c r="P10" s="451">
        <f t="shared" si="5"/>
        <v>0</v>
      </c>
      <c r="Q10" s="451">
        <f t="shared" ref="Q10:U10" si="6">SUM(Q7:Q9)</f>
        <v>0</v>
      </c>
      <c r="R10" s="451">
        <f t="shared" ref="R10" si="7">SUM(R7:R9)</f>
        <v>0</v>
      </c>
      <c r="S10" s="451">
        <f t="shared" ref="S10:T10" si="8">SUM(S7:S9)</f>
        <v>0</v>
      </c>
      <c r="T10" s="451">
        <f t="shared" si="8"/>
        <v>0</v>
      </c>
      <c r="U10" s="451">
        <f t="shared" si="6"/>
        <v>0</v>
      </c>
      <c r="V10" s="451">
        <f t="shared" ref="V10:W10" si="9">SUM(V7:V9)</f>
        <v>0</v>
      </c>
      <c r="W10" s="451">
        <f t="shared" si="9"/>
        <v>0</v>
      </c>
      <c r="X10" s="451">
        <f t="shared" ref="X10:Y10" si="10">SUM(X7:X9)</f>
        <v>0</v>
      </c>
      <c r="Y10" s="451">
        <f t="shared" si="10"/>
        <v>0</v>
      </c>
      <c r="Z10" s="451">
        <f t="shared" ref="Z10" si="11">SUM(Z7:Z9)</f>
        <v>0</v>
      </c>
      <c r="AA10" s="420"/>
      <c r="AD10" s="421" t="str">
        <f t="shared" si="1"/>
        <v/>
      </c>
      <c r="AE10" s="421"/>
      <c r="AF10" s="403"/>
    </row>
    <row r="11" spans="1:32" s="164" customFormat="1" ht="12" customHeight="1">
      <c r="A11" s="403"/>
      <c r="B11" s="435" t="s">
        <v>608</v>
      </c>
      <c r="C11" s="445">
        <v>0</v>
      </c>
      <c r="D11" s="445">
        <v>0</v>
      </c>
      <c r="E11" s="445">
        <v>0</v>
      </c>
      <c r="F11" s="445">
        <v>0</v>
      </c>
      <c r="G11" s="445">
        <v>0</v>
      </c>
      <c r="H11" s="445">
        <v>0</v>
      </c>
      <c r="I11" s="445">
        <v>0</v>
      </c>
      <c r="J11" s="445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4">
        <v>0</v>
      </c>
      <c r="R11" s="444">
        <v>0</v>
      </c>
      <c r="S11" s="444">
        <v>0</v>
      </c>
      <c r="T11" s="444">
        <v>0</v>
      </c>
      <c r="U11" s="444">
        <v>0</v>
      </c>
      <c r="V11" s="444">
        <v>0</v>
      </c>
      <c r="W11" s="444">
        <v>0</v>
      </c>
      <c r="X11" s="444">
        <v>0</v>
      </c>
      <c r="Y11" s="444">
        <v>0</v>
      </c>
      <c r="Z11" s="444">
        <v>0</v>
      </c>
      <c r="AA11" s="420"/>
      <c r="AD11" s="421" t="str">
        <f t="shared" si="1"/>
        <v/>
      </c>
      <c r="AE11" s="421"/>
      <c r="AF11" s="403"/>
    </row>
    <row r="12" spans="1:32" s="164" customFormat="1" ht="12" customHeight="1">
      <c r="A12" s="403"/>
      <c r="B12" s="435" t="s">
        <v>609</v>
      </c>
      <c r="C12" s="445">
        <v>0</v>
      </c>
      <c r="D12" s="445">
        <v>0</v>
      </c>
      <c r="E12" s="445">
        <v>0</v>
      </c>
      <c r="F12" s="445">
        <v>0</v>
      </c>
      <c r="G12" s="445">
        <v>0</v>
      </c>
      <c r="H12" s="445">
        <v>0</v>
      </c>
      <c r="I12" s="445">
        <v>0</v>
      </c>
      <c r="J12" s="445">
        <v>0</v>
      </c>
      <c r="K12" s="445">
        <v>0</v>
      </c>
      <c r="L12" s="445">
        <v>0</v>
      </c>
      <c r="M12" s="445">
        <v>0</v>
      </c>
      <c r="N12" s="445">
        <v>0</v>
      </c>
      <c r="O12" s="445">
        <v>0</v>
      </c>
      <c r="P12" s="445">
        <v>0</v>
      </c>
      <c r="Q12" s="445">
        <v>0</v>
      </c>
      <c r="R12" s="445">
        <v>0</v>
      </c>
      <c r="S12" s="445">
        <v>0</v>
      </c>
      <c r="T12" s="445">
        <v>0</v>
      </c>
      <c r="U12" s="445">
        <v>0</v>
      </c>
      <c r="V12" s="445">
        <v>0</v>
      </c>
      <c r="W12" s="445">
        <v>0</v>
      </c>
      <c r="X12" s="445">
        <v>0</v>
      </c>
      <c r="Y12" s="445">
        <v>0</v>
      </c>
      <c r="Z12" s="445">
        <v>0</v>
      </c>
      <c r="AA12" s="420"/>
      <c r="AD12" s="421" t="str">
        <f t="shared" si="1"/>
        <v/>
      </c>
      <c r="AE12" s="421"/>
      <c r="AF12" s="403"/>
    </row>
    <row r="13" spans="1:32" s="164" customFormat="1" ht="12" customHeight="1">
      <c r="A13" s="403"/>
      <c r="B13" s="839" t="s">
        <v>610</v>
      </c>
      <c r="C13" s="840">
        <f>SUM(C10:C12)</f>
        <v>0</v>
      </c>
      <c r="D13" s="840">
        <f t="shared" ref="D13:N13" si="12">SUM(D10:D12)</f>
        <v>0</v>
      </c>
      <c r="E13" s="840">
        <f t="shared" si="12"/>
        <v>0</v>
      </c>
      <c r="F13" s="840">
        <f t="shared" si="12"/>
        <v>0</v>
      </c>
      <c r="G13" s="840">
        <f t="shared" si="12"/>
        <v>0</v>
      </c>
      <c r="H13" s="840">
        <f t="shared" si="12"/>
        <v>0</v>
      </c>
      <c r="I13" s="840">
        <f t="shared" si="12"/>
        <v>0</v>
      </c>
      <c r="J13" s="840">
        <f t="shared" si="12"/>
        <v>0</v>
      </c>
      <c r="K13" s="840">
        <f t="shared" si="12"/>
        <v>0</v>
      </c>
      <c r="L13" s="840">
        <f t="shared" si="12"/>
        <v>0</v>
      </c>
      <c r="M13" s="840">
        <f t="shared" si="12"/>
        <v>0</v>
      </c>
      <c r="N13" s="840">
        <f t="shared" si="12"/>
        <v>0</v>
      </c>
      <c r="O13" s="840">
        <f t="shared" ref="O13" si="13">SUM(O10:O12)</f>
        <v>0</v>
      </c>
      <c r="P13" s="840">
        <f t="shared" ref="P13" si="14">SUM(P10:P12)</f>
        <v>0</v>
      </c>
      <c r="Q13" s="840">
        <f t="shared" ref="Q13:R13" si="15">SUM(Q10:Q12)</f>
        <v>0</v>
      </c>
      <c r="R13" s="840">
        <f t="shared" si="15"/>
        <v>0</v>
      </c>
      <c r="S13" s="840">
        <f t="shared" ref="S13" si="16">SUM(S10:S12)</f>
        <v>0</v>
      </c>
      <c r="T13" s="840">
        <f t="shared" ref="T13" si="17">SUM(T10:T12)</f>
        <v>0</v>
      </c>
      <c r="U13" s="840">
        <f t="shared" ref="U13" si="18">SUM(U10:U12)</f>
        <v>0</v>
      </c>
      <c r="V13" s="840">
        <f t="shared" ref="V13:W13" si="19">SUM(V10:V12)</f>
        <v>0</v>
      </c>
      <c r="W13" s="840">
        <f t="shared" si="19"/>
        <v>0</v>
      </c>
      <c r="X13" s="840">
        <f t="shared" ref="X13:Y13" si="20">SUM(X10:X12)</f>
        <v>0</v>
      </c>
      <c r="Y13" s="840">
        <f t="shared" si="20"/>
        <v>0</v>
      </c>
      <c r="Z13" s="840">
        <f t="shared" ref="Z13" si="21">SUM(Z10:Z12)</f>
        <v>0</v>
      </c>
      <c r="AA13" s="420"/>
      <c r="AD13" s="421" t="str">
        <f t="shared" si="1"/>
        <v/>
      </c>
      <c r="AE13" s="418"/>
      <c r="AF13" s="403"/>
    </row>
    <row r="14" spans="1:32" ht="12" customHeight="1">
      <c r="A14" s="404"/>
      <c r="B14" s="404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10"/>
      <c r="AD14" s="421"/>
      <c r="AE14" s="422"/>
      <c r="AF14" s="404"/>
    </row>
    <row r="15" spans="1:32" s="405" customFormat="1" ht="12" customHeight="1">
      <c r="A15" s="437" t="s">
        <v>217</v>
      </c>
      <c r="B15" s="402" t="s">
        <v>584</v>
      </c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415"/>
      <c r="AD15" s="421"/>
      <c r="AE15" s="421"/>
      <c r="AF15" s="415"/>
    </row>
    <row r="16" spans="1:32" s="164" customFormat="1" ht="12" customHeight="1">
      <c r="A16" s="403"/>
      <c r="B16" s="435" t="s">
        <v>200</v>
      </c>
      <c r="C16" s="445">
        <v>0</v>
      </c>
      <c r="D16" s="445">
        <v>0</v>
      </c>
      <c r="E16" s="445">
        <v>0</v>
      </c>
      <c r="F16" s="445">
        <v>0</v>
      </c>
      <c r="G16" s="445">
        <v>0</v>
      </c>
      <c r="H16" s="445">
        <v>0</v>
      </c>
      <c r="I16" s="445">
        <v>0</v>
      </c>
      <c r="J16" s="445">
        <v>0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4">
        <v>0</v>
      </c>
      <c r="Q16" s="444">
        <v>0</v>
      </c>
      <c r="R16" s="444">
        <v>0</v>
      </c>
      <c r="S16" s="444">
        <v>0</v>
      </c>
      <c r="T16" s="444">
        <v>0</v>
      </c>
      <c r="U16" s="444">
        <v>0</v>
      </c>
      <c r="V16" s="444">
        <v>0</v>
      </c>
      <c r="W16" s="444">
        <v>0</v>
      </c>
      <c r="X16" s="444">
        <v>0</v>
      </c>
      <c r="Y16" s="444">
        <v>0</v>
      </c>
      <c r="Z16" s="444">
        <v>0</v>
      </c>
      <c r="AA16" s="420"/>
      <c r="AD16" s="421" t="str">
        <f>IFERROR(AVERAGE((M16-L16)/L16,(N16-M16)/M16,(O16-N16)/N16,(P16-O16)/O16,(Q16-P16)/P16),"")</f>
        <v/>
      </c>
      <c r="AE16" s="421"/>
      <c r="AF16" s="403"/>
    </row>
    <row r="17" spans="1:32" s="164" customFormat="1" ht="12" customHeight="1">
      <c r="A17" s="403"/>
      <c r="B17" s="435" t="s">
        <v>605</v>
      </c>
      <c r="C17" s="445">
        <v>0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>
        <v>0</v>
      </c>
      <c r="J17" s="445">
        <v>0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4">
        <v>0</v>
      </c>
      <c r="Q17" s="444">
        <v>0</v>
      </c>
      <c r="R17" s="444">
        <v>0</v>
      </c>
      <c r="S17" s="444">
        <v>0</v>
      </c>
      <c r="T17" s="444">
        <v>0</v>
      </c>
      <c r="U17" s="444">
        <v>0</v>
      </c>
      <c r="V17" s="444">
        <v>0</v>
      </c>
      <c r="W17" s="444">
        <v>0</v>
      </c>
      <c r="X17" s="444">
        <v>0</v>
      </c>
      <c r="Y17" s="444">
        <v>0</v>
      </c>
      <c r="Z17" s="444">
        <v>0</v>
      </c>
      <c r="AA17" s="420"/>
      <c r="AD17" s="421" t="str">
        <f>IFERROR(AVERAGE((M17-L17)/L17,(N17-M17)/M17,(O17-N17)/N17,(P17-O17)/O17,(Q17-P17)/P17),"")</f>
        <v/>
      </c>
      <c r="AE17" s="421"/>
      <c r="AF17" s="403"/>
    </row>
    <row r="18" spans="1:32" s="164" customFormat="1" ht="12" customHeight="1">
      <c r="A18" s="403"/>
      <c r="B18" s="435" t="s">
        <v>606</v>
      </c>
      <c r="C18" s="445">
        <v>0</v>
      </c>
      <c r="D18" s="445">
        <v>0</v>
      </c>
      <c r="E18" s="445">
        <v>0</v>
      </c>
      <c r="F18" s="445">
        <v>0</v>
      </c>
      <c r="G18" s="445">
        <v>0</v>
      </c>
      <c r="H18" s="445">
        <v>0</v>
      </c>
      <c r="I18" s="445">
        <v>0</v>
      </c>
      <c r="J18" s="445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4">
        <v>0</v>
      </c>
      <c r="Q18" s="444">
        <v>0</v>
      </c>
      <c r="R18" s="444">
        <v>0</v>
      </c>
      <c r="S18" s="444">
        <v>0</v>
      </c>
      <c r="T18" s="444">
        <v>0</v>
      </c>
      <c r="U18" s="444">
        <v>0</v>
      </c>
      <c r="V18" s="444">
        <v>0</v>
      </c>
      <c r="W18" s="444">
        <v>0</v>
      </c>
      <c r="X18" s="444">
        <v>0</v>
      </c>
      <c r="Y18" s="444">
        <v>0</v>
      </c>
      <c r="Z18" s="444">
        <v>0</v>
      </c>
      <c r="AA18" s="420"/>
      <c r="AD18" s="421" t="str">
        <f>IFERROR(AVERAGE((M18-L18)/L18,(N18-M18)/M18,(O18-N18)/N18,(P18-O18)/O18,(Q18-P18)/P18),"")</f>
        <v/>
      </c>
      <c r="AE18" s="421"/>
      <c r="AF18" s="403"/>
    </row>
    <row r="19" spans="1:32" s="164" customFormat="1" ht="12" customHeight="1">
      <c r="A19" s="403"/>
      <c r="B19" s="450" t="s">
        <v>611</v>
      </c>
      <c r="C19" s="451">
        <f t="shared" ref="C19:K19" si="22">SUM(C16:C18)</f>
        <v>0</v>
      </c>
      <c r="D19" s="451">
        <f t="shared" si="22"/>
        <v>0</v>
      </c>
      <c r="E19" s="451">
        <f t="shared" si="22"/>
        <v>0</v>
      </c>
      <c r="F19" s="451">
        <f t="shared" si="22"/>
        <v>0</v>
      </c>
      <c r="G19" s="451">
        <f t="shared" si="22"/>
        <v>0</v>
      </c>
      <c r="H19" s="451">
        <f t="shared" si="22"/>
        <v>0</v>
      </c>
      <c r="I19" s="451">
        <f t="shared" si="22"/>
        <v>0</v>
      </c>
      <c r="J19" s="451">
        <f t="shared" si="22"/>
        <v>0</v>
      </c>
      <c r="K19" s="451">
        <f t="shared" si="22"/>
        <v>0</v>
      </c>
      <c r="L19" s="451">
        <f t="shared" ref="L19:M19" si="23">SUM(L16:L18)</f>
        <v>0</v>
      </c>
      <c r="M19" s="451">
        <f t="shared" si="23"/>
        <v>0</v>
      </c>
      <c r="N19" s="451">
        <f>SUM(N16:N18)</f>
        <v>0</v>
      </c>
      <c r="O19" s="451">
        <f t="shared" ref="O19:U19" si="24">SUM(O16:O18)</f>
        <v>0</v>
      </c>
      <c r="P19" s="451">
        <f t="shared" si="24"/>
        <v>0</v>
      </c>
      <c r="Q19" s="451">
        <f t="shared" si="24"/>
        <v>0</v>
      </c>
      <c r="R19" s="451">
        <f t="shared" ref="R19" si="25">SUM(R16:R18)</f>
        <v>0</v>
      </c>
      <c r="S19" s="451">
        <f t="shared" si="24"/>
        <v>0</v>
      </c>
      <c r="T19" s="451">
        <f t="shared" si="24"/>
        <v>0</v>
      </c>
      <c r="U19" s="451">
        <f t="shared" si="24"/>
        <v>0</v>
      </c>
      <c r="V19" s="451">
        <f t="shared" ref="V19:W19" si="26">SUM(V16:V18)</f>
        <v>0</v>
      </c>
      <c r="W19" s="451">
        <f t="shared" si="26"/>
        <v>0</v>
      </c>
      <c r="X19" s="451">
        <f t="shared" ref="X19:Y19" si="27">SUM(X16:X18)</f>
        <v>0</v>
      </c>
      <c r="Y19" s="451">
        <f t="shared" si="27"/>
        <v>0</v>
      </c>
      <c r="Z19" s="451">
        <f t="shared" ref="Z19" si="28">SUM(Z16:Z18)</f>
        <v>0</v>
      </c>
      <c r="AA19" s="420"/>
      <c r="AD19" s="421" t="str">
        <f>IFERROR(AVERAGE((M19-L19)/L19,(N19-M19)/M19,(O19-N19)/N19,(P19-O19)/O19,(Q19-P19)/P19),"")</f>
        <v/>
      </c>
      <c r="AE19" s="421"/>
      <c r="AF19" s="403"/>
    </row>
    <row r="20" spans="1:32" s="411" customFormat="1" ht="12" customHeight="1">
      <c r="A20" s="424"/>
      <c r="B20" s="862" t="s">
        <v>389</v>
      </c>
      <c r="C20" s="863">
        <f t="shared" ref="C20" si="29">+C19-C10</f>
        <v>0</v>
      </c>
      <c r="D20" s="863">
        <f t="shared" ref="D20:V20" si="30">IF(D19=0,0,+D19-D10)</f>
        <v>0</v>
      </c>
      <c r="E20" s="863">
        <f t="shared" si="30"/>
        <v>0</v>
      </c>
      <c r="F20" s="863">
        <f t="shared" si="30"/>
        <v>0</v>
      </c>
      <c r="G20" s="863">
        <f t="shared" si="30"/>
        <v>0</v>
      </c>
      <c r="H20" s="863">
        <f t="shared" si="30"/>
        <v>0</v>
      </c>
      <c r="I20" s="863">
        <f t="shared" si="30"/>
        <v>0</v>
      </c>
      <c r="J20" s="863">
        <f t="shared" si="30"/>
        <v>0</v>
      </c>
      <c r="K20" s="863">
        <f t="shared" si="30"/>
        <v>0</v>
      </c>
      <c r="L20" s="863">
        <f t="shared" si="30"/>
        <v>0</v>
      </c>
      <c r="M20" s="863">
        <f t="shared" si="30"/>
        <v>0</v>
      </c>
      <c r="N20" s="863">
        <f t="shared" si="30"/>
        <v>0</v>
      </c>
      <c r="O20" s="863">
        <f t="shared" si="30"/>
        <v>0</v>
      </c>
      <c r="P20" s="863">
        <f t="shared" si="30"/>
        <v>0</v>
      </c>
      <c r="Q20" s="863">
        <f t="shared" si="30"/>
        <v>0</v>
      </c>
      <c r="R20" s="863">
        <f t="shared" ref="R20" si="31">IF(R19=0,0,+R19-R10)</f>
        <v>0</v>
      </c>
      <c r="S20" s="863">
        <f t="shared" si="30"/>
        <v>0</v>
      </c>
      <c r="T20" s="863">
        <f t="shared" si="30"/>
        <v>0</v>
      </c>
      <c r="U20" s="863">
        <f t="shared" si="30"/>
        <v>0</v>
      </c>
      <c r="V20" s="863">
        <f t="shared" si="30"/>
        <v>0</v>
      </c>
      <c r="W20" s="863">
        <f t="shared" ref="W20:X20" si="32">IF(W19=0,0,+W19-W10)</f>
        <v>0</v>
      </c>
      <c r="X20" s="863">
        <f t="shared" si="32"/>
        <v>0</v>
      </c>
      <c r="Y20" s="863">
        <f t="shared" ref="Y20:Z20" si="33">IF(Y19=0,0,+Y19-Y10)</f>
        <v>0</v>
      </c>
      <c r="Z20" s="863">
        <f t="shared" si="33"/>
        <v>0</v>
      </c>
      <c r="AA20" s="423"/>
      <c r="AD20" s="421" t="str">
        <f>IFERROR(AVERAGE((M20-L20)/L20,(N20-M20)/M20,(O20-N20)/N20,(P20-O20)/O20,(Q20-P20)/P20),"")</f>
        <v/>
      </c>
      <c r="AE20" s="425"/>
      <c r="AF20" s="424"/>
    </row>
    <row r="21" spans="1:32" s="49" customFormat="1" ht="12">
      <c r="A21" s="206"/>
      <c r="B21" s="831" t="s">
        <v>390</v>
      </c>
      <c r="C21" s="832" t="str">
        <f>IFERROR(C20/C10,"")</f>
        <v/>
      </c>
      <c r="D21" s="832" t="str">
        <f t="shared" ref="D21:V21" si="34">IFERROR(D20/D10,"")</f>
        <v/>
      </c>
      <c r="E21" s="832" t="str">
        <f t="shared" si="34"/>
        <v/>
      </c>
      <c r="F21" s="832" t="str">
        <f t="shared" si="34"/>
        <v/>
      </c>
      <c r="G21" s="832" t="str">
        <f t="shared" si="34"/>
        <v/>
      </c>
      <c r="H21" s="832" t="str">
        <f t="shared" si="34"/>
        <v/>
      </c>
      <c r="I21" s="832" t="str">
        <f t="shared" si="34"/>
        <v/>
      </c>
      <c r="J21" s="832" t="str">
        <f t="shared" si="34"/>
        <v/>
      </c>
      <c r="K21" s="832" t="str">
        <f t="shared" si="34"/>
        <v/>
      </c>
      <c r="L21" s="832" t="str">
        <f t="shared" si="34"/>
        <v/>
      </c>
      <c r="M21" s="832" t="str">
        <f t="shared" si="34"/>
        <v/>
      </c>
      <c r="N21" s="832" t="str">
        <f t="shared" si="34"/>
        <v/>
      </c>
      <c r="O21" s="832" t="str">
        <f t="shared" si="34"/>
        <v/>
      </c>
      <c r="P21" s="832" t="str">
        <f t="shared" si="34"/>
        <v/>
      </c>
      <c r="Q21" s="832" t="str">
        <f t="shared" si="34"/>
        <v/>
      </c>
      <c r="R21" s="832" t="str">
        <f t="shared" si="34"/>
        <v/>
      </c>
      <c r="S21" s="832" t="str">
        <f t="shared" si="34"/>
        <v/>
      </c>
      <c r="T21" s="832" t="str">
        <f t="shared" si="34"/>
        <v/>
      </c>
      <c r="U21" s="832" t="str">
        <f t="shared" si="34"/>
        <v/>
      </c>
      <c r="V21" s="832" t="str">
        <f t="shared" si="34"/>
        <v/>
      </c>
      <c r="W21" s="832" t="str">
        <f t="shared" ref="W21:X21" si="35">IFERROR(W20/W10,"")</f>
        <v/>
      </c>
      <c r="X21" s="832" t="str">
        <f t="shared" si="35"/>
        <v/>
      </c>
      <c r="Y21" s="832" t="str">
        <f t="shared" ref="Y21:Z21" si="36">IFERROR(Y20/Y10,"")</f>
        <v/>
      </c>
      <c r="Z21" s="832" t="str">
        <f t="shared" si="36"/>
        <v/>
      </c>
      <c r="AA21" s="76"/>
    </row>
    <row r="22" spans="1:32" s="164" customFormat="1" ht="12" customHeight="1">
      <c r="A22" s="403"/>
      <c r="B22" s="403"/>
      <c r="C22" s="423"/>
      <c r="D22" s="423"/>
      <c r="E22" s="423"/>
      <c r="F22" s="423"/>
      <c r="G22" s="423"/>
      <c r="H22" s="423"/>
      <c r="I22" s="593"/>
      <c r="J22" s="593"/>
      <c r="K22" s="593"/>
      <c r="L22" s="593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03"/>
      <c r="AD22" s="421"/>
      <c r="AE22" s="418"/>
      <c r="AF22" s="403"/>
    </row>
    <row r="23" spans="1:32" s="164" customFormat="1" ht="12" customHeight="1">
      <c r="A23" s="437" t="s">
        <v>217</v>
      </c>
      <c r="B23" s="402" t="s">
        <v>612</v>
      </c>
      <c r="C23" s="440"/>
      <c r="D23" s="440"/>
      <c r="E23" s="440"/>
      <c r="F23" s="440"/>
      <c r="G23" s="441"/>
      <c r="H23" s="438"/>
      <c r="I23" s="438"/>
      <c r="J23" s="441"/>
      <c r="K23" s="441"/>
      <c r="L23" s="441"/>
      <c r="M23" s="441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03"/>
      <c r="AD23" s="421"/>
      <c r="AE23" s="416"/>
      <c r="AF23" s="442"/>
    </row>
    <row r="24" spans="1:32" s="164" customFormat="1" ht="12" customHeight="1">
      <c r="A24" s="403"/>
      <c r="B24" s="443" t="s">
        <v>32</v>
      </c>
      <c r="C24" s="445">
        <v>0</v>
      </c>
      <c r="D24" s="445">
        <v>0</v>
      </c>
      <c r="E24" s="445">
        <v>0</v>
      </c>
      <c r="F24" s="445">
        <v>0</v>
      </c>
      <c r="G24" s="445">
        <v>0</v>
      </c>
      <c r="H24" s="445">
        <v>0</v>
      </c>
      <c r="I24" s="445">
        <v>0</v>
      </c>
      <c r="J24" s="445">
        <v>0</v>
      </c>
      <c r="K24" s="445">
        <v>0</v>
      </c>
      <c r="L24" s="445">
        <v>0</v>
      </c>
      <c r="M24" s="444">
        <v>0</v>
      </c>
      <c r="N24" s="220">
        <v>0</v>
      </c>
      <c r="O24" s="220">
        <v>0</v>
      </c>
      <c r="P24" s="220">
        <v>0</v>
      </c>
      <c r="Q24" s="220">
        <v>0</v>
      </c>
      <c r="R24" s="220">
        <v>0</v>
      </c>
      <c r="S24" s="220">
        <v>0</v>
      </c>
      <c r="T24" s="220">
        <v>0</v>
      </c>
      <c r="U24" s="220">
        <v>0</v>
      </c>
      <c r="V24" s="220">
        <v>0</v>
      </c>
      <c r="W24" s="220">
        <v>0</v>
      </c>
      <c r="X24" s="220">
        <v>0</v>
      </c>
      <c r="Y24" s="220">
        <v>0</v>
      </c>
      <c r="Z24" s="220">
        <v>0</v>
      </c>
      <c r="AA24" s="403"/>
      <c r="AD24" s="421" t="str">
        <f t="shared" ref="AD24:AD29" si="37">IFERROR(AVERAGE((M24-L24)/L24,(N24-M24)/M24,(O24-N24)/N24,(P24-O24)/O24,(Q24-P24)/P24),"")</f>
        <v/>
      </c>
      <c r="AE24" s="446">
        <v>0</v>
      </c>
      <c r="AF24" s="403"/>
    </row>
    <row r="25" spans="1:32" s="164" customFormat="1" ht="12" customHeight="1">
      <c r="A25" s="403"/>
      <c r="B25" s="443" t="s">
        <v>613</v>
      </c>
      <c r="C25" s="445">
        <v>0</v>
      </c>
      <c r="D25" s="445">
        <v>0</v>
      </c>
      <c r="E25" s="445">
        <v>0</v>
      </c>
      <c r="F25" s="445">
        <v>0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5">
        <v>0</v>
      </c>
      <c r="R25" s="445">
        <v>0</v>
      </c>
      <c r="S25" s="445">
        <v>0</v>
      </c>
      <c r="T25" s="445">
        <v>0</v>
      </c>
      <c r="U25" s="445">
        <v>0</v>
      </c>
      <c r="V25" s="445">
        <v>0</v>
      </c>
      <c r="W25" s="445">
        <v>0</v>
      </c>
      <c r="X25" s="445">
        <v>0</v>
      </c>
      <c r="Y25" s="445">
        <v>0</v>
      </c>
      <c r="Z25" s="445">
        <v>0</v>
      </c>
      <c r="AA25" s="403"/>
      <c r="AD25" s="421" t="str">
        <f t="shared" si="37"/>
        <v/>
      </c>
      <c r="AE25" s="418"/>
      <c r="AF25" s="403"/>
    </row>
    <row r="26" spans="1:32" s="164" customFormat="1" ht="12" customHeight="1">
      <c r="A26" s="403"/>
      <c r="B26" s="443" t="s">
        <v>41</v>
      </c>
      <c r="C26" s="445">
        <v>0</v>
      </c>
      <c r="D26" s="445">
        <v>0</v>
      </c>
      <c r="E26" s="445">
        <v>0</v>
      </c>
      <c r="F26" s="445">
        <v>0</v>
      </c>
      <c r="G26" s="445">
        <v>0</v>
      </c>
      <c r="H26" s="445">
        <v>0</v>
      </c>
      <c r="I26" s="445">
        <v>0</v>
      </c>
      <c r="J26" s="445">
        <v>0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5">
        <v>0</v>
      </c>
      <c r="R26" s="445">
        <v>0</v>
      </c>
      <c r="S26" s="445">
        <v>0</v>
      </c>
      <c r="T26" s="445">
        <v>0</v>
      </c>
      <c r="U26" s="445">
        <v>0</v>
      </c>
      <c r="V26" s="445">
        <v>0</v>
      </c>
      <c r="W26" s="445">
        <v>0</v>
      </c>
      <c r="X26" s="445">
        <v>0</v>
      </c>
      <c r="Y26" s="445">
        <v>0</v>
      </c>
      <c r="Z26" s="445">
        <v>0</v>
      </c>
      <c r="AA26" s="403"/>
      <c r="AD26" s="421" t="str">
        <f t="shared" si="37"/>
        <v/>
      </c>
      <c r="AE26" s="785" t="s">
        <v>262</v>
      </c>
      <c r="AF26" s="403"/>
    </row>
    <row r="27" spans="1:32" s="164" customFormat="1" ht="12" customHeight="1">
      <c r="A27" s="403"/>
      <c r="B27" s="443" t="s">
        <v>614</v>
      </c>
      <c r="C27" s="445">
        <v>0</v>
      </c>
      <c r="D27" s="445">
        <v>0</v>
      </c>
      <c r="E27" s="445">
        <v>0</v>
      </c>
      <c r="F27" s="445">
        <v>0</v>
      </c>
      <c r="G27" s="445">
        <v>0</v>
      </c>
      <c r="H27" s="445">
        <v>0</v>
      </c>
      <c r="I27" s="445">
        <v>0</v>
      </c>
      <c r="J27" s="445">
        <v>0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5">
        <v>0</v>
      </c>
      <c r="R27" s="445">
        <v>0</v>
      </c>
      <c r="S27" s="445">
        <v>0</v>
      </c>
      <c r="T27" s="445">
        <v>0</v>
      </c>
      <c r="U27" s="445">
        <v>0</v>
      </c>
      <c r="V27" s="445">
        <v>0</v>
      </c>
      <c r="W27" s="445">
        <v>0</v>
      </c>
      <c r="X27" s="445">
        <v>0</v>
      </c>
      <c r="Y27" s="445">
        <v>0</v>
      </c>
      <c r="Z27" s="445">
        <v>0</v>
      </c>
      <c r="AA27" s="403"/>
      <c r="AD27" s="421" t="str">
        <f t="shared" si="37"/>
        <v/>
      </c>
      <c r="AE27" s="882"/>
      <c r="AF27" s="403"/>
    </row>
    <row r="28" spans="1:32" s="164" customFormat="1" ht="12" customHeight="1">
      <c r="A28" s="403"/>
      <c r="B28" s="443" t="s">
        <v>615</v>
      </c>
      <c r="C28" s="445">
        <v>0</v>
      </c>
      <c r="D28" s="445">
        <v>0</v>
      </c>
      <c r="E28" s="445">
        <v>0</v>
      </c>
      <c r="F28" s="445">
        <v>0</v>
      </c>
      <c r="G28" s="445">
        <v>0</v>
      </c>
      <c r="H28" s="445">
        <v>0</v>
      </c>
      <c r="I28" s="445">
        <v>0</v>
      </c>
      <c r="J28" s="445">
        <v>0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5">
        <v>0</v>
      </c>
      <c r="R28" s="445">
        <v>0</v>
      </c>
      <c r="S28" s="445">
        <f>S13-S35</f>
        <v>0</v>
      </c>
      <c r="T28" s="445">
        <f>T13-T35</f>
        <v>0</v>
      </c>
      <c r="U28" s="445">
        <f>U13-U35</f>
        <v>0</v>
      </c>
      <c r="V28" s="445">
        <f>V13-V35</f>
        <v>0</v>
      </c>
      <c r="W28" s="445">
        <v>0</v>
      </c>
      <c r="X28" s="445">
        <v>0</v>
      </c>
      <c r="Y28" s="445">
        <v>0</v>
      </c>
      <c r="Z28" s="445">
        <v>0</v>
      </c>
      <c r="AA28" s="403"/>
      <c r="AD28" s="421" t="str">
        <f t="shared" si="37"/>
        <v/>
      </c>
      <c r="AE28" s="882"/>
      <c r="AF28" s="403"/>
    </row>
    <row r="29" spans="1:32" s="164" customFormat="1" ht="12" customHeight="1">
      <c r="A29" s="403"/>
      <c r="B29" s="868" t="s">
        <v>616</v>
      </c>
      <c r="C29" s="453">
        <f t="shared" ref="C29:K29" si="38">SUM(C24:C28)</f>
        <v>0</v>
      </c>
      <c r="D29" s="453">
        <f t="shared" si="38"/>
        <v>0</v>
      </c>
      <c r="E29" s="453">
        <f t="shared" si="38"/>
        <v>0</v>
      </c>
      <c r="F29" s="453">
        <f t="shared" si="38"/>
        <v>0</v>
      </c>
      <c r="G29" s="453">
        <f t="shared" si="38"/>
        <v>0</v>
      </c>
      <c r="H29" s="453">
        <f t="shared" si="38"/>
        <v>0</v>
      </c>
      <c r="I29" s="453">
        <f t="shared" si="38"/>
        <v>0</v>
      </c>
      <c r="J29" s="453">
        <f t="shared" si="38"/>
        <v>0</v>
      </c>
      <c r="K29" s="453">
        <f t="shared" si="38"/>
        <v>0</v>
      </c>
      <c r="L29" s="453">
        <f t="shared" ref="L29:P29" si="39">SUM(L24:L28)</f>
        <v>0</v>
      </c>
      <c r="M29" s="453">
        <f t="shared" si="39"/>
        <v>0</v>
      </c>
      <c r="N29" s="453">
        <f t="shared" si="39"/>
        <v>0</v>
      </c>
      <c r="O29" s="453">
        <f t="shared" si="39"/>
        <v>0</v>
      </c>
      <c r="P29" s="453">
        <f t="shared" si="39"/>
        <v>0</v>
      </c>
      <c r="Q29" s="453">
        <f t="shared" ref="Q29:R29" si="40">SUM(Q24:Q28)</f>
        <v>0</v>
      </c>
      <c r="R29" s="453">
        <f t="shared" si="40"/>
        <v>0</v>
      </c>
      <c r="S29" s="453">
        <f t="shared" ref="S29" si="41">SUM(S24:S28)</f>
        <v>0</v>
      </c>
      <c r="T29" s="453">
        <f t="shared" ref="T29:V29" si="42">SUM(T24:T28)</f>
        <v>0</v>
      </c>
      <c r="U29" s="453">
        <f t="shared" si="42"/>
        <v>0</v>
      </c>
      <c r="V29" s="453">
        <f t="shared" si="42"/>
        <v>0</v>
      </c>
      <c r="W29" s="453">
        <f t="shared" ref="W29:X29" si="43">SUM(W24:W28)</f>
        <v>0</v>
      </c>
      <c r="X29" s="453">
        <f t="shared" si="43"/>
        <v>0</v>
      </c>
      <c r="Y29" s="453">
        <f t="shared" ref="Y29:Z29" si="44">SUM(Y24:Y28)</f>
        <v>0</v>
      </c>
      <c r="Z29" s="453">
        <f t="shared" si="44"/>
        <v>0</v>
      </c>
      <c r="AA29" s="403"/>
      <c r="AD29" s="421" t="str">
        <f t="shared" si="37"/>
        <v/>
      </c>
      <c r="AE29" s="882"/>
      <c r="AF29" s="403"/>
    </row>
    <row r="30" spans="1:32" s="164" customFormat="1" ht="12" customHeight="1">
      <c r="A30" s="403"/>
      <c r="B30" s="403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36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03"/>
      <c r="AD30" s="421"/>
      <c r="AE30" s="882"/>
      <c r="AF30" s="403"/>
    </row>
    <row r="31" spans="1:32" s="164" customFormat="1" ht="12" customHeight="1">
      <c r="A31" s="381" t="s">
        <v>220</v>
      </c>
      <c r="B31" s="402" t="s">
        <v>617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03"/>
      <c r="AD31" s="426"/>
      <c r="AE31" s="883"/>
      <c r="AF31" s="403"/>
    </row>
    <row r="32" spans="1:32" s="164" customFormat="1" ht="12" customHeight="1">
      <c r="A32" s="403"/>
      <c r="B32" s="443" t="s">
        <v>618</v>
      </c>
      <c r="C32" s="444">
        <f t="shared" ref="C32:Q32" si="45">ROUND(C10*0.1*3,0)</f>
        <v>0</v>
      </c>
      <c r="D32" s="444">
        <f t="shared" si="45"/>
        <v>0</v>
      </c>
      <c r="E32" s="444">
        <f t="shared" si="45"/>
        <v>0</v>
      </c>
      <c r="F32" s="444">
        <f t="shared" si="45"/>
        <v>0</v>
      </c>
      <c r="G32" s="444">
        <f t="shared" si="45"/>
        <v>0</v>
      </c>
      <c r="H32" s="444">
        <f t="shared" si="45"/>
        <v>0</v>
      </c>
      <c r="I32" s="444">
        <f t="shared" si="45"/>
        <v>0</v>
      </c>
      <c r="J32" s="444">
        <f t="shared" si="45"/>
        <v>0</v>
      </c>
      <c r="K32" s="444">
        <f t="shared" si="45"/>
        <v>0</v>
      </c>
      <c r="L32" s="444">
        <f t="shared" si="45"/>
        <v>0</v>
      </c>
      <c r="M32" s="444">
        <f t="shared" si="45"/>
        <v>0</v>
      </c>
      <c r="N32" s="444">
        <f t="shared" si="45"/>
        <v>0</v>
      </c>
      <c r="O32" s="444">
        <f t="shared" si="45"/>
        <v>0</v>
      </c>
      <c r="P32" s="444">
        <f t="shared" si="45"/>
        <v>0</v>
      </c>
      <c r="Q32" s="444">
        <f t="shared" si="45"/>
        <v>0</v>
      </c>
      <c r="R32" s="444">
        <f t="shared" ref="R32:Z32" si="46">ROUND((R$7+R$8)*0.1*3,0)</f>
        <v>0</v>
      </c>
      <c r="S32" s="444">
        <f t="shared" si="46"/>
        <v>0</v>
      </c>
      <c r="T32" s="444">
        <f t="shared" si="46"/>
        <v>0</v>
      </c>
      <c r="U32" s="444">
        <f t="shared" si="46"/>
        <v>0</v>
      </c>
      <c r="V32" s="444">
        <f t="shared" si="46"/>
        <v>0</v>
      </c>
      <c r="W32" s="444">
        <f t="shared" si="46"/>
        <v>0</v>
      </c>
      <c r="X32" s="444">
        <f t="shared" si="46"/>
        <v>0</v>
      </c>
      <c r="Y32" s="444">
        <f t="shared" si="46"/>
        <v>0</v>
      </c>
      <c r="Z32" s="444">
        <f t="shared" si="46"/>
        <v>0</v>
      </c>
      <c r="AA32" s="403"/>
      <c r="AD32" s="421" t="str">
        <f>IFERROR(AVERAGE((M32-L32)/L32,(N32-M32)/M32,(O32-N32)/N32,(P32-O32)/O32,(Q32-P32)/P32),"")</f>
        <v/>
      </c>
      <c r="AE32" s="899" t="s">
        <v>619</v>
      </c>
      <c r="AF32" s="403"/>
    </row>
    <row r="33" spans="1:32" s="164" customFormat="1" ht="12" customHeight="1">
      <c r="A33" s="403"/>
      <c r="B33" s="443" t="s">
        <v>620</v>
      </c>
      <c r="C33" s="444">
        <f t="shared" ref="C33:N33" si="47">ROUND(C10*0.05,0)</f>
        <v>0</v>
      </c>
      <c r="D33" s="444">
        <f t="shared" si="47"/>
        <v>0</v>
      </c>
      <c r="E33" s="444">
        <f t="shared" si="47"/>
        <v>0</v>
      </c>
      <c r="F33" s="444">
        <f t="shared" si="47"/>
        <v>0</v>
      </c>
      <c r="G33" s="444">
        <f t="shared" si="47"/>
        <v>0</v>
      </c>
      <c r="H33" s="444">
        <f t="shared" si="47"/>
        <v>0</v>
      </c>
      <c r="I33" s="444">
        <f t="shared" si="47"/>
        <v>0</v>
      </c>
      <c r="J33" s="444">
        <f t="shared" si="47"/>
        <v>0</v>
      </c>
      <c r="K33" s="444">
        <f t="shared" si="47"/>
        <v>0</v>
      </c>
      <c r="L33" s="444">
        <f t="shared" si="47"/>
        <v>0</v>
      </c>
      <c r="M33" s="444">
        <f t="shared" si="47"/>
        <v>0</v>
      </c>
      <c r="N33" s="444">
        <f t="shared" si="47"/>
        <v>0</v>
      </c>
      <c r="O33" s="444">
        <f>O10*0.05</f>
        <v>0</v>
      </c>
      <c r="P33" s="444">
        <f>P10*0.05</f>
        <v>0</v>
      </c>
      <c r="Q33" s="444">
        <f>Q10*0.05</f>
        <v>0</v>
      </c>
      <c r="R33" s="444">
        <f t="shared" ref="R33:Z33" si="48">ROUND((R$7+R$8)*0.05,0)</f>
        <v>0</v>
      </c>
      <c r="S33" s="444">
        <f t="shared" si="48"/>
        <v>0</v>
      </c>
      <c r="T33" s="444">
        <f t="shared" si="48"/>
        <v>0</v>
      </c>
      <c r="U33" s="444">
        <f t="shared" si="48"/>
        <v>0</v>
      </c>
      <c r="V33" s="444">
        <f t="shared" si="48"/>
        <v>0</v>
      </c>
      <c r="W33" s="444">
        <f t="shared" si="48"/>
        <v>0</v>
      </c>
      <c r="X33" s="444">
        <f t="shared" si="48"/>
        <v>0</v>
      </c>
      <c r="Y33" s="444">
        <f t="shared" si="48"/>
        <v>0</v>
      </c>
      <c r="Z33" s="444">
        <f t="shared" si="48"/>
        <v>0</v>
      </c>
      <c r="AA33" s="403"/>
      <c r="AD33" s="421" t="str">
        <f>IFERROR(AVERAGE((M33-L33)/L33,(N33-M33)/M33,(O33-N33)/N33,(P33-O33)/O33,(Q33-P33)/P33),"")</f>
        <v/>
      </c>
      <c r="AE33" s="899" t="s">
        <v>621</v>
      </c>
      <c r="AF33" s="403"/>
    </row>
    <row r="34" spans="1:32" s="164" customFormat="1" ht="12" customHeight="1">
      <c r="A34" s="403"/>
      <c r="B34" s="443" t="s">
        <v>622</v>
      </c>
      <c r="C34" s="445">
        <v>0</v>
      </c>
      <c r="D34" s="445">
        <v>0</v>
      </c>
      <c r="E34" s="445">
        <v>0</v>
      </c>
      <c r="F34" s="445">
        <v>0</v>
      </c>
      <c r="G34" s="445">
        <v>0</v>
      </c>
      <c r="H34" s="445">
        <v>0</v>
      </c>
      <c r="I34" s="445">
        <v>0</v>
      </c>
      <c r="J34" s="445">
        <v>0</v>
      </c>
      <c r="K34" s="445">
        <v>0</v>
      </c>
      <c r="L34" s="445">
        <v>0</v>
      </c>
      <c r="M34" s="445">
        <v>0</v>
      </c>
      <c r="N34" s="445">
        <v>0</v>
      </c>
      <c r="O34" s="445">
        <v>0</v>
      </c>
      <c r="P34" s="445">
        <v>0</v>
      </c>
      <c r="Q34" s="445">
        <v>0</v>
      </c>
      <c r="R34" s="445">
        <v>0</v>
      </c>
      <c r="S34" s="445">
        <v>0</v>
      </c>
      <c r="T34" s="445">
        <v>0</v>
      </c>
      <c r="U34" s="445">
        <v>0</v>
      </c>
      <c r="V34" s="445">
        <v>0</v>
      </c>
      <c r="W34" s="445">
        <v>0</v>
      </c>
      <c r="X34" s="445">
        <v>0</v>
      </c>
      <c r="Y34" s="445">
        <v>0</v>
      </c>
      <c r="Z34" s="445">
        <v>0</v>
      </c>
      <c r="AA34" s="403"/>
      <c r="AD34" s="421" t="str">
        <f>IFERROR(AVERAGE((M34-L34)/L34,(N34-M34)/M34,(O34-N34)/N34,(P34-O34)/O34,(Q34-P34)/P34),"")</f>
        <v/>
      </c>
      <c r="AE34" s="882"/>
      <c r="AF34" s="403"/>
    </row>
    <row r="35" spans="1:32" s="164" customFormat="1" ht="12" customHeight="1">
      <c r="A35" s="403"/>
      <c r="B35" s="454" t="s">
        <v>623</v>
      </c>
      <c r="C35" s="452">
        <f t="shared" ref="C35:L35" si="49">SUM(C32:C34)</f>
        <v>0</v>
      </c>
      <c r="D35" s="452">
        <f t="shared" si="49"/>
        <v>0</v>
      </c>
      <c r="E35" s="452">
        <f t="shared" si="49"/>
        <v>0</v>
      </c>
      <c r="F35" s="452">
        <f t="shared" si="49"/>
        <v>0</v>
      </c>
      <c r="G35" s="452">
        <f t="shared" si="49"/>
        <v>0</v>
      </c>
      <c r="H35" s="452">
        <f t="shared" si="49"/>
        <v>0</v>
      </c>
      <c r="I35" s="452">
        <f t="shared" si="49"/>
        <v>0</v>
      </c>
      <c r="J35" s="452">
        <f t="shared" si="49"/>
        <v>0</v>
      </c>
      <c r="K35" s="452">
        <f t="shared" si="49"/>
        <v>0</v>
      </c>
      <c r="L35" s="452">
        <f t="shared" si="49"/>
        <v>0</v>
      </c>
      <c r="M35" s="452">
        <f t="shared" ref="M35:R35" si="50">SUM(M32:M34)</f>
        <v>0</v>
      </c>
      <c r="N35" s="452">
        <f t="shared" si="50"/>
        <v>0</v>
      </c>
      <c r="O35" s="452">
        <f t="shared" si="50"/>
        <v>0</v>
      </c>
      <c r="P35" s="452">
        <f t="shared" si="50"/>
        <v>0</v>
      </c>
      <c r="Q35" s="452">
        <f t="shared" si="50"/>
        <v>0</v>
      </c>
      <c r="R35" s="452">
        <f t="shared" si="50"/>
        <v>0</v>
      </c>
      <c r="S35" s="452">
        <f t="shared" ref="S35" si="51">SUM(S32:S34)</f>
        <v>0</v>
      </c>
      <c r="T35" s="452">
        <f t="shared" ref="T35:V35" si="52">SUM(T32:T34)</f>
        <v>0</v>
      </c>
      <c r="U35" s="452">
        <f t="shared" si="52"/>
        <v>0</v>
      </c>
      <c r="V35" s="452">
        <f t="shared" si="52"/>
        <v>0</v>
      </c>
      <c r="W35" s="452">
        <f t="shared" ref="W35:X35" si="53">SUM(W32:W34)</f>
        <v>0</v>
      </c>
      <c r="X35" s="452">
        <f t="shared" si="53"/>
        <v>0</v>
      </c>
      <c r="Y35" s="452">
        <f t="shared" ref="Y35:Z35" si="54">SUM(Y32:Y34)</f>
        <v>0</v>
      </c>
      <c r="Z35" s="452">
        <f t="shared" si="54"/>
        <v>0</v>
      </c>
      <c r="AA35" s="403"/>
      <c r="AD35" s="421" t="str">
        <f>IFERROR(AVERAGE((M35-L35)/L35,(N35-M35)/M35,(O35-N35)/N35,(P35-O35)/O35,(Q35-P35)/P35),"")</f>
        <v/>
      </c>
      <c r="AE35" s="882"/>
      <c r="AF35" s="403"/>
    </row>
    <row r="36" spans="1:32" s="164" customFormat="1" ht="12" customHeight="1">
      <c r="A36" s="403"/>
      <c r="B36" s="839" t="s">
        <v>616</v>
      </c>
      <c r="C36" s="840">
        <f>C29+C35</f>
        <v>0</v>
      </c>
      <c r="D36" s="840">
        <f t="shared" ref="D36:V36" si="55">D29+D35</f>
        <v>0</v>
      </c>
      <c r="E36" s="840">
        <f t="shared" si="55"/>
        <v>0</v>
      </c>
      <c r="F36" s="840">
        <f t="shared" si="55"/>
        <v>0</v>
      </c>
      <c r="G36" s="840">
        <f t="shared" si="55"/>
        <v>0</v>
      </c>
      <c r="H36" s="840">
        <f t="shared" si="55"/>
        <v>0</v>
      </c>
      <c r="I36" s="840">
        <f t="shared" si="55"/>
        <v>0</v>
      </c>
      <c r="J36" s="840">
        <f t="shared" si="55"/>
        <v>0</v>
      </c>
      <c r="K36" s="840">
        <f t="shared" si="55"/>
        <v>0</v>
      </c>
      <c r="L36" s="840">
        <f t="shared" si="55"/>
        <v>0</v>
      </c>
      <c r="M36" s="840">
        <f t="shared" si="55"/>
        <v>0</v>
      </c>
      <c r="N36" s="840">
        <f t="shared" si="55"/>
        <v>0</v>
      </c>
      <c r="O36" s="840">
        <f t="shared" si="55"/>
        <v>0</v>
      </c>
      <c r="P36" s="840">
        <f t="shared" si="55"/>
        <v>0</v>
      </c>
      <c r="Q36" s="840">
        <f t="shared" si="55"/>
        <v>0</v>
      </c>
      <c r="R36" s="840">
        <f t="shared" si="55"/>
        <v>0</v>
      </c>
      <c r="S36" s="840">
        <f t="shared" si="55"/>
        <v>0</v>
      </c>
      <c r="T36" s="840">
        <f t="shared" si="55"/>
        <v>0</v>
      </c>
      <c r="U36" s="840">
        <f t="shared" si="55"/>
        <v>0</v>
      </c>
      <c r="V36" s="840">
        <f t="shared" si="55"/>
        <v>0</v>
      </c>
      <c r="W36" s="840">
        <f t="shared" ref="W36:X36" si="56">W29+W35</f>
        <v>0</v>
      </c>
      <c r="X36" s="840">
        <f t="shared" si="56"/>
        <v>0</v>
      </c>
      <c r="Y36" s="840">
        <f t="shared" ref="Y36:Z36" si="57">Y29+Y35</f>
        <v>0</v>
      </c>
      <c r="Z36" s="840">
        <f t="shared" si="57"/>
        <v>0</v>
      </c>
      <c r="AA36" s="420"/>
      <c r="AD36" s="421" t="str">
        <f>IFERROR(AVERAGE((M36-L36)/L36,(N36-M36)/M36,(O36-N36)/N36,(P36-O36)/O36,(Q36-P36)/P36),"")</f>
        <v/>
      </c>
      <c r="AE36" s="418"/>
      <c r="AF36" s="403"/>
    </row>
    <row r="37" spans="1:32" ht="12" customHeight="1">
      <c r="A37" s="404"/>
      <c r="B37" s="404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10"/>
      <c r="AD37" s="421"/>
      <c r="AE37" s="422"/>
      <c r="AF37" s="404"/>
    </row>
    <row r="38" spans="1:32" s="196" customFormat="1" ht="12" customHeight="1" thickBot="1">
      <c r="A38" s="427"/>
      <c r="B38" s="835" t="s">
        <v>624</v>
      </c>
      <c r="C38" s="836">
        <f t="shared" ref="C38:V38" si="58">IF(C19&gt;0,C19+C11+C12-C36,C13-C36)</f>
        <v>0</v>
      </c>
      <c r="D38" s="836">
        <f t="shared" si="58"/>
        <v>0</v>
      </c>
      <c r="E38" s="836">
        <f t="shared" si="58"/>
        <v>0</v>
      </c>
      <c r="F38" s="836">
        <f t="shared" si="58"/>
        <v>0</v>
      </c>
      <c r="G38" s="836">
        <f t="shared" si="58"/>
        <v>0</v>
      </c>
      <c r="H38" s="836">
        <f t="shared" si="58"/>
        <v>0</v>
      </c>
      <c r="I38" s="836">
        <f t="shared" si="58"/>
        <v>0</v>
      </c>
      <c r="J38" s="836">
        <f t="shared" si="58"/>
        <v>0</v>
      </c>
      <c r="K38" s="836">
        <f t="shared" si="58"/>
        <v>0</v>
      </c>
      <c r="L38" s="836">
        <f t="shared" si="58"/>
        <v>0</v>
      </c>
      <c r="M38" s="836">
        <f t="shared" si="58"/>
        <v>0</v>
      </c>
      <c r="N38" s="836">
        <f t="shared" si="58"/>
        <v>0</v>
      </c>
      <c r="O38" s="836">
        <f t="shared" si="58"/>
        <v>0</v>
      </c>
      <c r="P38" s="836">
        <f t="shared" si="58"/>
        <v>0</v>
      </c>
      <c r="Q38" s="836">
        <f t="shared" si="58"/>
        <v>0</v>
      </c>
      <c r="R38" s="836">
        <f t="shared" si="58"/>
        <v>0</v>
      </c>
      <c r="S38" s="836">
        <f t="shared" si="58"/>
        <v>0</v>
      </c>
      <c r="T38" s="836">
        <f t="shared" si="58"/>
        <v>0</v>
      </c>
      <c r="U38" s="836">
        <f t="shared" si="58"/>
        <v>0</v>
      </c>
      <c r="V38" s="836">
        <f t="shared" si="58"/>
        <v>0</v>
      </c>
      <c r="W38" s="836">
        <f t="shared" ref="W38:X38" si="59">IF(W19&gt;0,W19+W11+W12-W36,W13-W36)</f>
        <v>0</v>
      </c>
      <c r="X38" s="836">
        <f t="shared" si="59"/>
        <v>0</v>
      </c>
      <c r="Y38" s="836">
        <f t="shared" ref="Y38:Z38" si="60">IF(Y19&gt;0,Y19+Y11+Y12-Y36,Y13-Y36)</f>
        <v>0</v>
      </c>
      <c r="Z38" s="836">
        <f t="shared" si="60"/>
        <v>0</v>
      </c>
      <c r="AA38" s="427"/>
      <c r="AD38" s="428" t="str">
        <f>IFERROR(AVERAGE((M38-L38)/L38,(N38-M38)/M38,(O38-N38)/N38,(P38-O38)/O38,(Q38-P38)/P38),"")</f>
        <v/>
      </c>
      <c r="AE38" s="448"/>
      <c r="AF38" s="427"/>
    </row>
    <row r="39" spans="1:32" ht="12" customHeight="1" thickTop="1">
      <c r="A39" s="404"/>
      <c r="B39" s="403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D39" s="414"/>
      <c r="AE39" s="414"/>
      <c r="AF39" s="404"/>
    </row>
    <row r="40" spans="1:32" ht="12" customHeight="1">
      <c r="A40" s="417" t="s">
        <v>142</v>
      </c>
      <c r="B40" s="1030" t="s">
        <v>625</v>
      </c>
      <c r="C40" s="1031"/>
      <c r="D40" s="1031"/>
      <c r="E40" s="1031"/>
      <c r="F40" s="1031"/>
      <c r="G40" s="1031"/>
      <c r="H40" s="1031"/>
      <c r="I40" s="1031"/>
      <c r="J40" s="1031"/>
      <c r="K40" s="1031"/>
      <c r="L40" s="1031"/>
      <c r="M40" s="1031"/>
      <c r="N40" s="1031"/>
      <c r="O40" s="1031"/>
      <c r="P40" s="1031"/>
      <c r="Q40" s="1031"/>
      <c r="R40" s="1031"/>
      <c r="S40" s="1031"/>
      <c r="T40" s="1031"/>
      <c r="U40" s="1031"/>
      <c r="V40" s="1031"/>
      <c r="W40" s="929"/>
      <c r="X40" s="929"/>
      <c r="Y40" s="929"/>
      <c r="Z40" s="929"/>
      <c r="AA40" s="404"/>
      <c r="AD40" s="414"/>
      <c r="AE40" s="414"/>
      <c r="AF40" s="404"/>
    </row>
    <row r="41" spans="1:32" ht="12" customHeight="1">
      <c r="A41" s="437" t="s">
        <v>217</v>
      </c>
      <c r="B41" s="1032" t="s">
        <v>626</v>
      </c>
      <c r="C41" s="1031"/>
      <c r="D41" s="1031"/>
      <c r="E41" s="1031"/>
      <c r="F41" s="1031"/>
      <c r="G41" s="1031"/>
      <c r="H41" s="1031"/>
      <c r="I41" s="1031"/>
      <c r="J41" s="1031"/>
      <c r="K41" s="1031"/>
      <c r="L41" s="1031"/>
      <c r="M41" s="1031"/>
      <c r="N41" s="1031"/>
      <c r="O41" s="1031"/>
      <c r="P41" s="1031"/>
      <c r="Q41" s="1031"/>
      <c r="R41" s="1031"/>
      <c r="S41" s="1031"/>
      <c r="T41" s="1031"/>
      <c r="U41" s="1031"/>
      <c r="V41" s="1031"/>
      <c r="W41" s="929"/>
      <c r="X41" s="929"/>
      <c r="Y41" s="929"/>
      <c r="Z41" s="929"/>
      <c r="AA41" s="404"/>
      <c r="AD41" s="414"/>
      <c r="AE41" s="414"/>
      <c r="AF41" s="404"/>
    </row>
    <row r="42" spans="1:32" ht="12" customHeight="1">
      <c r="A42" s="381" t="s">
        <v>220</v>
      </c>
      <c r="B42" s="403" t="s">
        <v>627</v>
      </c>
      <c r="C42" s="403"/>
      <c r="D42" s="403"/>
      <c r="E42" s="403"/>
      <c r="F42" s="403"/>
      <c r="G42" s="403"/>
      <c r="H42" s="403"/>
      <c r="I42" s="403"/>
      <c r="J42" s="403"/>
      <c r="K42" s="403"/>
      <c r="L42" s="423"/>
      <c r="M42" s="423"/>
      <c r="N42" s="423"/>
      <c r="O42" s="404"/>
      <c r="P42" s="430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D42" s="414"/>
      <c r="AE42" s="414"/>
      <c r="AF42" s="404"/>
    </row>
    <row r="43" spans="1:32" ht="12" customHeight="1">
      <c r="A43" s="404"/>
      <c r="B43" s="403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D43" s="414"/>
      <c r="AE43" s="414"/>
      <c r="AF43" s="404"/>
    </row>
    <row r="44" spans="1:32" ht="12" customHeight="1">
      <c r="A44" s="404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D44" s="414"/>
      <c r="AE44" s="414"/>
      <c r="AF44" s="404"/>
    </row>
    <row r="45" spans="1:32" ht="12" customHeight="1"/>
    <row r="46" spans="1:32" ht="12" customHeight="1"/>
    <row r="47" spans="1:32" ht="12" customHeight="1"/>
    <row r="48" spans="1:3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</sheetData>
  <mergeCells count="2">
    <mergeCell ref="B40:V40"/>
    <mergeCell ref="B41:V41"/>
  </mergeCells>
  <phoneticPr fontId="40" type="noConversion"/>
  <hyperlinks>
    <hyperlink ref="AE26" location="Debt!A1" display="See Debt" xr:uid="{D794B3DE-EDEE-4D16-B903-54C6E22C5D57}"/>
  </hyperlinks>
  <printOptions horizontalCentered="1"/>
  <pageMargins left="0.25" right="0.25" top="0.5" bottom="0.5" header="0.3" footer="0.3"/>
  <pageSetup scale="93" orientation="landscape" r:id="rId1"/>
  <headerFooter>
    <oddFooter>&amp;L&amp;9&amp;A&amp;C&amp;10page &amp;P of &amp;N&amp;R&amp;9&amp;D</oddFooter>
  </headerFooter>
  <ignoredErrors>
    <ignoredError sqref="S32:S3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theme="9" tint="-0.249977111117893"/>
  </sheetPr>
  <dimension ref="A1:AI178"/>
  <sheetViews>
    <sheetView showGridLines="0" zoomScaleNormal="100" zoomScaleSheetLayoutView="100" workbookViewId="0">
      <pane xSplit="2" ySplit="4" topLeftCell="K5" activePane="bottomRight" state="frozen"/>
      <selection pane="bottomRight" activeCell="Y19" sqref="Y19"/>
      <selection pane="bottomLeft" activeCell="A3" sqref="A3"/>
      <selection pane="topRight" activeCell="D1" sqref="D1"/>
    </sheetView>
  </sheetViews>
  <sheetFormatPr defaultColWidth="8.75" defaultRowHeight="12"/>
  <cols>
    <col min="1" max="1" width="2.375" style="206" customWidth="1"/>
    <col min="2" max="2" width="44.875" style="564" customWidth="1"/>
    <col min="3" max="8" width="7.875" style="32" bestFit="1" customWidth="1"/>
    <col min="9" max="9" width="6.5" style="32" customWidth="1"/>
    <col min="10" max="10" width="6.75" style="122" customWidth="1"/>
    <col min="11" max="11" width="8.125" style="46" customWidth="1"/>
    <col min="12" max="12" width="8.75" style="46" customWidth="1"/>
    <col min="13" max="13" width="6.75" style="46" bestFit="1" customWidth="1"/>
    <col min="14" max="18" width="7.875" style="47" bestFit="1" customWidth="1"/>
    <col min="19" max="21" width="7.875" style="47" customWidth="1"/>
    <col min="22" max="28" width="7.875" style="49" customWidth="1"/>
    <col min="29" max="29" width="9.875" style="49" customWidth="1"/>
    <col min="30" max="16384" width="8.75" style="49"/>
  </cols>
  <sheetData>
    <row r="1" spans="2:33">
      <c r="B1" s="562" t="str">
        <f>Summary!B1</f>
        <v>Municipality of Berkley</v>
      </c>
      <c r="C1" s="25"/>
      <c r="D1" s="25"/>
      <c r="E1" s="25"/>
      <c r="F1" s="25"/>
      <c r="G1" s="25"/>
      <c r="H1" s="25"/>
      <c r="I1" s="25"/>
      <c r="J1" s="25"/>
      <c r="K1" s="110"/>
      <c r="L1" s="110"/>
      <c r="M1" s="110"/>
      <c r="N1" s="198"/>
      <c r="O1" s="198"/>
      <c r="P1" s="198"/>
      <c r="Q1" s="198"/>
      <c r="R1" s="198"/>
      <c r="S1" s="198"/>
      <c r="T1" s="198"/>
      <c r="U1" s="198"/>
      <c r="AF1" s="48"/>
      <c r="AG1" s="48"/>
    </row>
    <row r="2" spans="2:33">
      <c r="B2" s="563" t="s">
        <v>588</v>
      </c>
      <c r="C2" s="112"/>
      <c r="D2" s="112"/>
      <c r="E2" s="112"/>
      <c r="F2" s="112"/>
      <c r="G2" s="112"/>
      <c r="H2" s="112"/>
      <c r="I2" s="112"/>
      <c r="J2" s="112"/>
      <c r="K2" s="113"/>
      <c r="L2" s="113"/>
      <c r="M2" s="113"/>
      <c r="N2" s="199"/>
      <c r="O2" s="198"/>
      <c r="P2" s="199"/>
      <c r="Q2" s="199"/>
      <c r="R2" s="199"/>
      <c r="S2" s="199"/>
      <c r="T2" s="199"/>
      <c r="U2" s="199"/>
      <c r="AF2" s="48"/>
      <c r="AG2" s="48"/>
    </row>
    <row r="3" spans="2:33">
      <c r="C3" s="172" t="s">
        <v>82</v>
      </c>
      <c r="D3" s="172" t="s">
        <v>83</v>
      </c>
      <c r="E3" s="172" t="s">
        <v>84</v>
      </c>
      <c r="F3" s="172" t="s">
        <v>85</v>
      </c>
      <c r="G3" s="172" t="s">
        <v>86</v>
      </c>
      <c r="H3" s="172" t="s">
        <v>87</v>
      </c>
      <c r="I3" s="172" t="s">
        <v>88</v>
      </c>
      <c r="J3" s="172" t="s">
        <v>89</v>
      </c>
      <c r="K3" s="117" t="s">
        <v>90</v>
      </c>
      <c r="L3" s="117" t="s">
        <v>91</v>
      </c>
      <c r="M3" s="117" t="s">
        <v>92</v>
      </c>
      <c r="N3" s="80" t="s">
        <v>93</v>
      </c>
      <c r="O3" s="80" t="s">
        <v>94</v>
      </c>
      <c r="P3" s="80" t="s">
        <v>95</v>
      </c>
      <c r="Q3" s="80" t="s">
        <v>96</v>
      </c>
      <c r="R3" s="80" t="s">
        <v>97</v>
      </c>
      <c r="S3" s="80" t="s">
        <v>98</v>
      </c>
      <c r="T3" s="80" t="s">
        <v>99</v>
      </c>
      <c r="U3" s="80" t="s">
        <v>100</v>
      </c>
      <c r="V3" s="80" t="s">
        <v>101</v>
      </c>
      <c r="W3" s="80" t="s">
        <v>102</v>
      </c>
      <c r="X3" s="80" t="s">
        <v>103</v>
      </c>
      <c r="Y3" s="80" t="s">
        <v>104</v>
      </c>
      <c r="Z3" s="80" t="s">
        <v>105</v>
      </c>
      <c r="AA3" s="80" t="s">
        <v>106</v>
      </c>
      <c r="AB3" s="80" t="s">
        <v>107</v>
      </c>
    </row>
    <row r="4" spans="2:33">
      <c r="C4" s="172" t="s">
        <v>387</v>
      </c>
      <c r="D4" s="172" t="s">
        <v>387</v>
      </c>
      <c r="E4" s="172" t="s">
        <v>387</v>
      </c>
      <c r="F4" s="172" t="s">
        <v>387</v>
      </c>
      <c r="G4" s="172" t="s">
        <v>387</v>
      </c>
      <c r="H4" s="172" t="s">
        <v>387</v>
      </c>
      <c r="I4" s="172" t="s">
        <v>387</v>
      </c>
      <c r="J4" s="172" t="s">
        <v>387</v>
      </c>
      <c r="K4" s="117" t="s">
        <v>387</v>
      </c>
      <c r="L4" s="117" t="s">
        <v>387</v>
      </c>
      <c r="M4" s="117" t="s">
        <v>387</v>
      </c>
      <c r="N4" s="117" t="s">
        <v>387</v>
      </c>
      <c r="O4" s="117" t="s">
        <v>387</v>
      </c>
      <c r="P4" s="117" t="s">
        <v>387</v>
      </c>
      <c r="Q4" s="117" t="s">
        <v>387</v>
      </c>
      <c r="R4" s="117" t="s">
        <v>387</v>
      </c>
      <c r="S4" s="117" t="s">
        <v>387</v>
      </c>
      <c r="T4" s="117" t="s">
        <v>387</v>
      </c>
      <c r="U4" s="80" t="s">
        <v>387</v>
      </c>
      <c r="V4" s="80" t="s">
        <v>387</v>
      </c>
      <c r="W4" s="80" t="s">
        <v>158</v>
      </c>
      <c r="X4" s="80" t="s">
        <v>158</v>
      </c>
      <c r="Y4" s="80" t="s">
        <v>159</v>
      </c>
      <c r="Z4" s="80" t="s">
        <v>159</v>
      </c>
      <c r="AA4" s="80" t="s">
        <v>159</v>
      </c>
      <c r="AB4" s="80" t="s">
        <v>159</v>
      </c>
    </row>
    <row r="5" spans="2:33">
      <c r="C5" s="172"/>
      <c r="D5" s="172"/>
      <c r="E5" s="172"/>
      <c r="F5" s="172"/>
      <c r="G5" s="172"/>
      <c r="H5" s="172"/>
      <c r="I5" s="172"/>
      <c r="J5" s="172"/>
      <c r="K5" s="117"/>
      <c r="L5" s="117"/>
      <c r="M5" s="117"/>
      <c r="N5" s="117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2:33">
      <c r="B6" s="565" t="s">
        <v>628</v>
      </c>
      <c r="C6" s="617">
        <f>C31</f>
        <v>0</v>
      </c>
      <c r="D6" s="617">
        <f t="shared" ref="D6:V6" si="0">D31</f>
        <v>0</v>
      </c>
      <c r="E6" s="617">
        <f t="shared" si="0"/>
        <v>0</v>
      </c>
      <c r="F6" s="617">
        <f t="shared" si="0"/>
        <v>0</v>
      </c>
      <c r="G6" s="617">
        <f t="shared" si="0"/>
        <v>0</v>
      </c>
      <c r="H6" s="617">
        <f t="shared" si="0"/>
        <v>0</v>
      </c>
      <c r="I6" s="617">
        <f t="shared" si="0"/>
        <v>0</v>
      </c>
      <c r="J6" s="617">
        <f t="shared" si="0"/>
        <v>0</v>
      </c>
      <c r="K6" s="617">
        <f t="shared" si="0"/>
        <v>0</v>
      </c>
      <c r="L6" s="617">
        <f t="shared" si="0"/>
        <v>0</v>
      </c>
      <c r="M6" s="617">
        <f t="shared" si="0"/>
        <v>0</v>
      </c>
      <c r="N6" s="617">
        <f t="shared" si="0"/>
        <v>0</v>
      </c>
      <c r="O6" s="617">
        <f t="shared" si="0"/>
        <v>0</v>
      </c>
      <c r="P6" s="617">
        <f t="shared" si="0"/>
        <v>0</v>
      </c>
      <c r="Q6" s="617">
        <f t="shared" si="0"/>
        <v>0</v>
      </c>
      <c r="R6" s="617">
        <f t="shared" si="0"/>
        <v>0</v>
      </c>
      <c r="S6" s="617">
        <f t="shared" si="0"/>
        <v>0</v>
      </c>
      <c r="T6" s="617">
        <f t="shared" si="0"/>
        <v>0</v>
      </c>
      <c r="U6" s="617">
        <f t="shared" si="0"/>
        <v>0</v>
      </c>
      <c r="V6" s="617">
        <f t="shared" si="0"/>
        <v>0</v>
      </c>
      <c r="W6" s="617">
        <f t="shared" ref="W6:X6" si="1">W31</f>
        <v>0</v>
      </c>
      <c r="X6" s="617">
        <f t="shared" si="1"/>
        <v>0</v>
      </c>
      <c r="Y6" s="617">
        <f t="shared" ref="Y6:Z6" si="2">Y31</f>
        <v>0</v>
      </c>
      <c r="Z6" s="617">
        <f t="shared" si="2"/>
        <v>0</v>
      </c>
      <c r="AA6" s="617">
        <f t="shared" ref="AA6:AB6" si="3">AA31</f>
        <v>0</v>
      </c>
      <c r="AB6" s="617">
        <f t="shared" si="3"/>
        <v>0</v>
      </c>
    </row>
    <row r="7" spans="2:33">
      <c r="B7" s="566" t="s">
        <v>261</v>
      </c>
      <c r="C7" s="167">
        <f>C68</f>
        <v>0</v>
      </c>
      <c r="D7" s="167">
        <f t="shared" ref="D7:V7" si="4">D68</f>
        <v>0</v>
      </c>
      <c r="E7" s="167">
        <f t="shared" si="4"/>
        <v>0</v>
      </c>
      <c r="F7" s="167">
        <f t="shared" si="4"/>
        <v>0</v>
      </c>
      <c r="G7" s="167">
        <f t="shared" si="4"/>
        <v>0</v>
      </c>
      <c r="H7" s="167">
        <f t="shared" si="4"/>
        <v>0</v>
      </c>
      <c r="I7" s="167">
        <f t="shared" si="4"/>
        <v>0</v>
      </c>
      <c r="J7" s="167">
        <f t="shared" si="4"/>
        <v>0</v>
      </c>
      <c r="K7" s="167">
        <f t="shared" si="4"/>
        <v>0</v>
      </c>
      <c r="L7" s="167">
        <f t="shared" si="4"/>
        <v>0</v>
      </c>
      <c r="M7" s="167">
        <f t="shared" si="4"/>
        <v>0</v>
      </c>
      <c r="N7" s="167">
        <f t="shared" si="4"/>
        <v>0</v>
      </c>
      <c r="O7" s="167">
        <f t="shared" si="4"/>
        <v>0</v>
      </c>
      <c r="P7" s="167">
        <f t="shared" si="4"/>
        <v>0</v>
      </c>
      <c r="Q7" s="167">
        <f t="shared" si="4"/>
        <v>0</v>
      </c>
      <c r="R7" s="167">
        <f t="shared" si="4"/>
        <v>0</v>
      </c>
      <c r="S7" s="167">
        <f t="shared" si="4"/>
        <v>0</v>
      </c>
      <c r="T7" s="167">
        <f t="shared" si="4"/>
        <v>199675</v>
      </c>
      <c r="U7" s="167">
        <f t="shared" si="4"/>
        <v>477213</v>
      </c>
      <c r="V7" s="167">
        <f t="shared" si="4"/>
        <v>504563</v>
      </c>
      <c r="W7" s="167">
        <f t="shared" ref="W7:X7" si="5">W68</f>
        <v>740327</v>
      </c>
      <c r="X7" s="167">
        <f t="shared" si="5"/>
        <v>2710026</v>
      </c>
      <c r="Y7" s="167">
        <f t="shared" ref="Y7:Z7" si="6">Y68</f>
        <v>3388850</v>
      </c>
      <c r="Z7" s="167">
        <f t="shared" si="6"/>
        <v>3388300</v>
      </c>
      <c r="AA7" s="167">
        <f t="shared" ref="AA7:AB7" si="7">AA68</f>
        <v>3387600</v>
      </c>
      <c r="AB7" s="167">
        <f t="shared" si="7"/>
        <v>3386263</v>
      </c>
    </row>
    <row r="8" spans="2:33">
      <c r="B8" s="566" t="s">
        <v>629</v>
      </c>
      <c r="C8" s="167">
        <f>C84</f>
        <v>0</v>
      </c>
      <c r="D8" s="167">
        <f t="shared" ref="D8:V8" si="8">D84</f>
        <v>0</v>
      </c>
      <c r="E8" s="167">
        <f t="shared" si="8"/>
        <v>0</v>
      </c>
      <c r="F8" s="167">
        <f t="shared" si="8"/>
        <v>0</v>
      </c>
      <c r="G8" s="167">
        <f t="shared" si="8"/>
        <v>0</v>
      </c>
      <c r="H8" s="167">
        <f t="shared" si="8"/>
        <v>0</v>
      </c>
      <c r="I8" s="167">
        <f t="shared" si="8"/>
        <v>0</v>
      </c>
      <c r="J8" s="167">
        <f t="shared" si="8"/>
        <v>0</v>
      </c>
      <c r="K8" s="167">
        <f t="shared" si="8"/>
        <v>0</v>
      </c>
      <c r="L8" s="167">
        <f t="shared" si="8"/>
        <v>0</v>
      </c>
      <c r="M8" s="167">
        <f t="shared" si="8"/>
        <v>0</v>
      </c>
      <c r="N8" s="167">
        <f t="shared" si="8"/>
        <v>0</v>
      </c>
      <c r="O8" s="167">
        <f t="shared" si="8"/>
        <v>0</v>
      </c>
      <c r="P8" s="167">
        <f t="shared" si="8"/>
        <v>0</v>
      </c>
      <c r="Q8" s="167">
        <f t="shared" si="8"/>
        <v>0</v>
      </c>
      <c r="R8" s="167">
        <f t="shared" si="8"/>
        <v>0</v>
      </c>
      <c r="S8" s="167">
        <f t="shared" si="8"/>
        <v>0</v>
      </c>
      <c r="T8" s="167">
        <f t="shared" si="8"/>
        <v>0</v>
      </c>
      <c r="U8" s="167">
        <f t="shared" si="8"/>
        <v>0</v>
      </c>
      <c r="V8" s="167">
        <f t="shared" si="8"/>
        <v>0</v>
      </c>
      <c r="W8" s="167">
        <f t="shared" ref="W8:X8" si="9">W84</f>
        <v>0</v>
      </c>
      <c r="X8" s="167">
        <f t="shared" si="9"/>
        <v>0</v>
      </c>
      <c r="Y8" s="167">
        <f t="shared" ref="Y8:Z8" si="10">Y84</f>
        <v>0</v>
      </c>
      <c r="Z8" s="167">
        <f t="shared" si="10"/>
        <v>0</v>
      </c>
      <c r="AA8" s="167">
        <f t="shared" ref="AA8:AB8" si="11">AA84</f>
        <v>0</v>
      </c>
      <c r="AB8" s="167">
        <f t="shared" si="11"/>
        <v>0</v>
      </c>
    </row>
    <row r="9" spans="2:33">
      <c r="B9" s="566" t="s">
        <v>630</v>
      </c>
      <c r="C9" s="167">
        <f>C99</f>
        <v>0</v>
      </c>
      <c r="D9" s="167">
        <f t="shared" ref="D9:V9" si="12">D99</f>
        <v>0</v>
      </c>
      <c r="E9" s="167">
        <f t="shared" si="12"/>
        <v>0</v>
      </c>
      <c r="F9" s="167">
        <f t="shared" si="12"/>
        <v>0</v>
      </c>
      <c r="G9" s="167">
        <f t="shared" si="12"/>
        <v>0</v>
      </c>
      <c r="H9" s="167">
        <f t="shared" si="12"/>
        <v>0</v>
      </c>
      <c r="I9" s="167">
        <f t="shared" si="12"/>
        <v>0</v>
      </c>
      <c r="J9" s="167">
        <f t="shared" si="12"/>
        <v>0</v>
      </c>
      <c r="K9" s="167">
        <f t="shared" si="12"/>
        <v>0</v>
      </c>
      <c r="L9" s="167">
        <f t="shared" si="12"/>
        <v>0</v>
      </c>
      <c r="M9" s="167">
        <f t="shared" si="12"/>
        <v>0</v>
      </c>
      <c r="N9" s="167">
        <f t="shared" si="12"/>
        <v>0</v>
      </c>
      <c r="O9" s="167">
        <f t="shared" si="12"/>
        <v>0</v>
      </c>
      <c r="P9" s="167">
        <f t="shared" si="12"/>
        <v>0</v>
      </c>
      <c r="Q9" s="167">
        <f t="shared" si="12"/>
        <v>0</v>
      </c>
      <c r="R9" s="167">
        <f t="shared" si="12"/>
        <v>0</v>
      </c>
      <c r="S9" s="167">
        <f t="shared" si="12"/>
        <v>0</v>
      </c>
      <c r="T9" s="167">
        <f t="shared" si="12"/>
        <v>0</v>
      </c>
      <c r="U9" s="167">
        <f t="shared" si="12"/>
        <v>0</v>
      </c>
      <c r="V9" s="167">
        <f t="shared" si="12"/>
        <v>0</v>
      </c>
      <c r="W9" s="167">
        <f t="shared" ref="W9:X9" si="13">W99</f>
        <v>0</v>
      </c>
      <c r="X9" s="167">
        <f t="shared" si="13"/>
        <v>0</v>
      </c>
      <c r="Y9" s="167">
        <f t="shared" ref="Y9:Z9" si="14">Y99</f>
        <v>0</v>
      </c>
      <c r="Z9" s="167">
        <f t="shared" si="14"/>
        <v>0</v>
      </c>
      <c r="AA9" s="167">
        <f t="shared" ref="AA9:AB9" si="15">AA99</f>
        <v>0</v>
      </c>
      <c r="AB9" s="167">
        <f t="shared" si="15"/>
        <v>0</v>
      </c>
    </row>
    <row r="10" spans="2:33">
      <c r="B10" s="484" t="s">
        <v>631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67">
        <f t="shared" ref="S10:U10" si="16">S36</f>
        <v>0</v>
      </c>
      <c r="T10" s="167">
        <f t="shared" si="16"/>
        <v>0</v>
      </c>
      <c r="U10" s="167">
        <f t="shared" si="16"/>
        <v>0</v>
      </c>
      <c r="V10" s="167">
        <f>V36</f>
        <v>0</v>
      </c>
      <c r="W10" s="167">
        <f>W36</f>
        <v>0</v>
      </c>
      <c r="X10" s="167">
        <f>X36</f>
        <v>0</v>
      </c>
      <c r="Y10" s="167">
        <f>Y36</f>
        <v>0</v>
      </c>
      <c r="Z10" s="167">
        <f>Z36</f>
        <v>0</v>
      </c>
      <c r="AA10" s="167">
        <f t="shared" ref="AA10:AB10" si="17">AA36</f>
        <v>0</v>
      </c>
      <c r="AB10" s="167">
        <f t="shared" si="17"/>
        <v>0</v>
      </c>
    </row>
    <row r="11" spans="2:33">
      <c r="B11" s="567" t="s">
        <v>632</v>
      </c>
      <c r="C11" s="618">
        <f>SUM(C6:C10)</f>
        <v>0</v>
      </c>
      <c r="D11" s="618">
        <f t="shared" ref="D11:V11" si="18">SUM(D6:D10)</f>
        <v>0</v>
      </c>
      <c r="E11" s="618">
        <f t="shared" si="18"/>
        <v>0</v>
      </c>
      <c r="F11" s="618">
        <f t="shared" si="18"/>
        <v>0</v>
      </c>
      <c r="G11" s="618">
        <f t="shared" si="18"/>
        <v>0</v>
      </c>
      <c r="H11" s="618">
        <f t="shared" si="18"/>
        <v>0</v>
      </c>
      <c r="I11" s="618">
        <f t="shared" si="18"/>
        <v>0</v>
      </c>
      <c r="J11" s="618">
        <f t="shared" si="18"/>
        <v>0</v>
      </c>
      <c r="K11" s="618">
        <f t="shared" si="18"/>
        <v>0</v>
      </c>
      <c r="L11" s="618">
        <f t="shared" si="18"/>
        <v>0</v>
      </c>
      <c r="M11" s="618">
        <f t="shared" si="18"/>
        <v>0</v>
      </c>
      <c r="N11" s="618">
        <f t="shared" si="18"/>
        <v>0</v>
      </c>
      <c r="O11" s="618">
        <f t="shared" si="18"/>
        <v>0</v>
      </c>
      <c r="P11" s="618">
        <f t="shared" si="18"/>
        <v>0</v>
      </c>
      <c r="Q11" s="618">
        <f>SUM(Q6:Q10)</f>
        <v>0</v>
      </c>
      <c r="R11" s="618">
        <f t="shared" si="18"/>
        <v>0</v>
      </c>
      <c r="S11" s="618">
        <f t="shared" si="18"/>
        <v>0</v>
      </c>
      <c r="T11" s="618">
        <f t="shared" si="18"/>
        <v>199675</v>
      </c>
      <c r="U11" s="618">
        <f t="shared" si="18"/>
        <v>477213</v>
      </c>
      <c r="V11" s="618">
        <f t="shared" si="18"/>
        <v>504563</v>
      </c>
      <c r="W11" s="618">
        <f t="shared" ref="W11:X11" si="19">SUM(W6:W10)</f>
        <v>740327</v>
      </c>
      <c r="X11" s="618">
        <f t="shared" si="19"/>
        <v>2710026</v>
      </c>
      <c r="Y11" s="618">
        <f t="shared" ref="Y11:Z11" si="20">SUM(Y6:Y10)</f>
        <v>3388850</v>
      </c>
      <c r="Z11" s="618">
        <f t="shared" si="20"/>
        <v>3388300</v>
      </c>
      <c r="AA11" s="618">
        <f t="shared" ref="AA11:AB11" si="21">SUM(AA6:AA10)</f>
        <v>3387600</v>
      </c>
      <c r="AB11" s="618">
        <f t="shared" si="21"/>
        <v>3386263</v>
      </c>
      <c r="AC11" s="83"/>
      <c r="AD11" s="83"/>
      <c r="AE11" s="83"/>
    </row>
    <row r="12" spans="2:33">
      <c r="B12" s="566" t="s">
        <v>633</v>
      </c>
      <c r="C12" s="167">
        <f>C106</f>
        <v>0</v>
      </c>
      <c r="D12" s="167">
        <f t="shared" ref="D12:V12" si="22">D106</f>
        <v>0</v>
      </c>
      <c r="E12" s="167">
        <f t="shared" si="22"/>
        <v>0</v>
      </c>
      <c r="F12" s="167">
        <f t="shared" si="22"/>
        <v>0</v>
      </c>
      <c r="G12" s="167">
        <f t="shared" si="22"/>
        <v>0</v>
      </c>
      <c r="H12" s="167">
        <f t="shared" si="22"/>
        <v>0</v>
      </c>
      <c r="I12" s="167">
        <f t="shared" si="22"/>
        <v>0</v>
      </c>
      <c r="J12" s="167">
        <f t="shared" si="22"/>
        <v>0</v>
      </c>
      <c r="K12" s="167">
        <f t="shared" si="22"/>
        <v>0</v>
      </c>
      <c r="L12" s="167">
        <f t="shared" si="22"/>
        <v>0</v>
      </c>
      <c r="M12" s="167">
        <f t="shared" si="22"/>
        <v>0</v>
      </c>
      <c r="N12" s="167">
        <f t="shared" si="22"/>
        <v>0</v>
      </c>
      <c r="O12" s="167">
        <f t="shared" si="22"/>
        <v>0</v>
      </c>
      <c r="P12" s="167">
        <f t="shared" si="22"/>
        <v>0</v>
      </c>
      <c r="Q12" s="167">
        <f t="shared" si="22"/>
        <v>0</v>
      </c>
      <c r="R12" s="167">
        <f t="shared" si="22"/>
        <v>0</v>
      </c>
      <c r="S12" s="167">
        <f t="shared" si="22"/>
        <v>0</v>
      </c>
      <c r="T12" s="167">
        <f t="shared" si="22"/>
        <v>0</v>
      </c>
      <c r="U12" s="167">
        <f t="shared" si="22"/>
        <v>0</v>
      </c>
      <c r="V12" s="167">
        <f t="shared" si="22"/>
        <v>0</v>
      </c>
      <c r="W12" s="167">
        <f t="shared" ref="W12:X12" si="23">W106</f>
        <v>0</v>
      </c>
      <c r="X12" s="167">
        <f t="shared" si="23"/>
        <v>0</v>
      </c>
      <c r="Y12" s="167">
        <f t="shared" ref="Y12:AA12" si="24">Y106</f>
        <v>0</v>
      </c>
      <c r="Z12" s="167">
        <f t="shared" si="24"/>
        <v>0</v>
      </c>
      <c r="AA12" s="167">
        <f t="shared" si="24"/>
        <v>0</v>
      </c>
      <c r="AB12" s="167">
        <f t="shared" ref="AB12" si="25">AB106</f>
        <v>0</v>
      </c>
    </row>
    <row r="13" spans="2:33">
      <c r="B13" s="566" t="s">
        <v>264</v>
      </c>
      <c r="C13" s="167">
        <f>C112</f>
        <v>0</v>
      </c>
      <c r="D13" s="167">
        <f t="shared" ref="D13:V13" si="26">D112</f>
        <v>0</v>
      </c>
      <c r="E13" s="167">
        <f t="shared" si="26"/>
        <v>0</v>
      </c>
      <c r="F13" s="167">
        <f t="shared" si="26"/>
        <v>0</v>
      </c>
      <c r="G13" s="167">
        <f t="shared" si="26"/>
        <v>0</v>
      </c>
      <c r="H13" s="167">
        <f t="shared" si="26"/>
        <v>0</v>
      </c>
      <c r="I13" s="167">
        <f t="shared" si="26"/>
        <v>0</v>
      </c>
      <c r="J13" s="167">
        <f t="shared" si="26"/>
        <v>0</v>
      </c>
      <c r="K13" s="167">
        <f t="shared" si="26"/>
        <v>0</v>
      </c>
      <c r="L13" s="167">
        <f t="shared" si="26"/>
        <v>0</v>
      </c>
      <c r="M13" s="167">
        <f t="shared" si="26"/>
        <v>0</v>
      </c>
      <c r="N13" s="167">
        <f t="shared" si="26"/>
        <v>0</v>
      </c>
      <c r="O13" s="167">
        <f t="shared" si="26"/>
        <v>0</v>
      </c>
      <c r="P13" s="167">
        <f t="shared" si="26"/>
        <v>0</v>
      </c>
      <c r="Q13" s="167">
        <f t="shared" si="26"/>
        <v>0</v>
      </c>
      <c r="R13" s="167">
        <f t="shared" si="26"/>
        <v>0</v>
      </c>
      <c r="S13" s="167">
        <f t="shared" si="26"/>
        <v>0</v>
      </c>
      <c r="T13" s="167">
        <f t="shared" si="26"/>
        <v>0</v>
      </c>
      <c r="U13" s="167">
        <f t="shared" si="26"/>
        <v>558412</v>
      </c>
      <c r="V13" s="167">
        <f t="shared" si="26"/>
        <v>764070</v>
      </c>
      <c r="W13" s="167">
        <f t="shared" ref="W13:X13" si="27">W112</f>
        <v>1116183</v>
      </c>
      <c r="X13" s="167">
        <f t="shared" si="27"/>
        <v>1157316</v>
      </c>
      <c r="Y13" s="167">
        <f t="shared" ref="Y13:Z13" si="28">Y112</f>
        <v>1270415</v>
      </c>
      <c r="Z13" s="167">
        <f t="shared" si="28"/>
        <v>1298156</v>
      </c>
      <c r="AA13" s="167">
        <f t="shared" ref="AA13:AB13" si="29">AA112</f>
        <v>1297986</v>
      </c>
      <c r="AB13" s="167">
        <f t="shared" si="29"/>
        <v>1297967</v>
      </c>
    </row>
    <row r="14" spans="2:33">
      <c r="B14" s="566" t="s">
        <v>634</v>
      </c>
      <c r="C14" s="167">
        <f>C126</f>
        <v>0</v>
      </c>
      <c r="D14" s="167">
        <f t="shared" ref="D14:V14" si="30">D126</f>
        <v>0</v>
      </c>
      <c r="E14" s="167">
        <f t="shared" si="30"/>
        <v>0</v>
      </c>
      <c r="F14" s="167">
        <f t="shared" si="30"/>
        <v>0</v>
      </c>
      <c r="G14" s="167">
        <f t="shared" si="30"/>
        <v>0</v>
      </c>
      <c r="H14" s="167">
        <f t="shared" si="30"/>
        <v>0</v>
      </c>
      <c r="I14" s="167">
        <f t="shared" si="30"/>
        <v>0</v>
      </c>
      <c r="J14" s="167">
        <f t="shared" si="30"/>
        <v>0</v>
      </c>
      <c r="K14" s="167">
        <f t="shared" si="30"/>
        <v>0</v>
      </c>
      <c r="L14" s="167">
        <f t="shared" si="30"/>
        <v>0</v>
      </c>
      <c r="M14" s="167">
        <f t="shared" si="30"/>
        <v>0</v>
      </c>
      <c r="N14" s="167">
        <f t="shared" si="30"/>
        <v>0</v>
      </c>
      <c r="O14" s="167">
        <f t="shared" si="30"/>
        <v>0</v>
      </c>
      <c r="P14" s="167">
        <f t="shared" si="30"/>
        <v>0</v>
      </c>
      <c r="Q14" s="167">
        <f t="shared" si="30"/>
        <v>0</v>
      </c>
      <c r="R14" s="167">
        <f t="shared" si="30"/>
        <v>0</v>
      </c>
      <c r="S14" s="167">
        <f t="shared" si="30"/>
        <v>0</v>
      </c>
      <c r="T14" s="167">
        <f t="shared" si="30"/>
        <v>0</v>
      </c>
      <c r="U14" s="167">
        <f t="shared" si="30"/>
        <v>0</v>
      </c>
      <c r="V14" s="167">
        <f t="shared" si="30"/>
        <v>0</v>
      </c>
      <c r="W14" s="167">
        <f t="shared" ref="W14:X14" si="31">W126</f>
        <v>0</v>
      </c>
      <c r="X14" s="167">
        <f t="shared" si="31"/>
        <v>0</v>
      </c>
      <c r="Y14" s="167">
        <f t="shared" ref="Y14:Z14" si="32">Y126</f>
        <v>0</v>
      </c>
      <c r="Z14" s="167">
        <f t="shared" si="32"/>
        <v>0</v>
      </c>
      <c r="AA14" s="167">
        <f t="shared" ref="AA14:AB14" si="33">AA126</f>
        <v>0</v>
      </c>
      <c r="AB14" s="167">
        <f t="shared" si="33"/>
        <v>0</v>
      </c>
    </row>
    <row r="15" spans="2:33" ht="12.75" thickBot="1">
      <c r="B15" s="568" t="s">
        <v>635</v>
      </c>
      <c r="C15" s="620">
        <f>SUM(C11:C14)</f>
        <v>0</v>
      </c>
      <c r="D15" s="620">
        <f t="shared" ref="D15:U15" si="34">SUM(D11:D14)</f>
        <v>0</v>
      </c>
      <c r="E15" s="620">
        <f t="shared" si="34"/>
        <v>0</v>
      </c>
      <c r="F15" s="620">
        <f t="shared" si="34"/>
        <v>0</v>
      </c>
      <c r="G15" s="620">
        <f t="shared" si="34"/>
        <v>0</v>
      </c>
      <c r="H15" s="620">
        <f t="shared" si="34"/>
        <v>0</v>
      </c>
      <c r="I15" s="620">
        <f t="shared" si="34"/>
        <v>0</v>
      </c>
      <c r="J15" s="620">
        <f t="shared" si="34"/>
        <v>0</v>
      </c>
      <c r="K15" s="620">
        <f t="shared" si="34"/>
        <v>0</v>
      </c>
      <c r="L15" s="620">
        <f t="shared" si="34"/>
        <v>0</v>
      </c>
      <c r="M15" s="620">
        <f t="shared" si="34"/>
        <v>0</v>
      </c>
      <c r="N15" s="620">
        <f t="shared" si="34"/>
        <v>0</v>
      </c>
      <c r="O15" s="620">
        <f t="shared" si="34"/>
        <v>0</v>
      </c>
      <c r="P15" s="620">
        <f t="shared" si="34"/>
        <v>0</v>
      </c>
      <c r="Q15" s="620">
        <f>SUM(Q11:Q14)</f>
        <v>0</v>
      </c>
      <c r="R15" s="620">
        <f t="shared" si="34"/>
        <v>0</v>
      </c>
      <c r="S15" s="620">
        <f t="shared" si="34"/>
        <v>0</v>
      </c>
      <c r="T15" s="620">
        <f t="shared" si="34"/>
        <v>199675</v>
      </c>
      <c r="U15" s="620">
        <f t="shared" si="34"/>
        <v>1035625</v>
      </c>
      <c r="V15" s="620">
        <f>SUM(V11:V14)</f>
        <v>1268633</v>
      </c>
      <c r="W15" s="620">
        <f>SUM(W11:W14)</f>
        <v>1856510</v>
      </c>
      <c r="X15" s="620">
        <f>SUM(X11:X14)</f>
        <v>3867342</v>
      </c>
      <c r="Y15" s="620">
        <f>SUM(Y11:Y14)</f>
        <v>4659265</v>
      </c>
      <c r="Z15" s="620">
        <f>SUM(Z11:Z14)</f>
        <v>4686456</v>
      </c>
      <c r="AA15" s="620">
        <f t="shared" ref="AA15:AB15" si="35">SUM(AA11:AA14)</f>
        <v>4685586</v>
      </c>
      <c r="AB15" s="620">
        <f t="shared" si="35"/>
        <v>4684230</v>
      </c>
    </row>
    <row r="16" spans="2:33" ht="12.75" thickTop="1">
      <c r="J16" s="139"/>
      <c r="K16" s="122"/>
      <c r="L16" s="122"/>
      <c r="M16" s="122"/>
      <c r="V16" s="47"/>
      <c r="W16" s="47"/>
      <c r="X16" s="47"/>
      <c r="Y16" s="47"/>
      <c r="Z16" s="47"/>
      <c r="AA16" s="47"/>
      <c r="AB16" s="47"/>
      <c r="AC16" s="47"/>
    </row>
    <row r="17" spans="2:29">
      <c r="B17" s="569" t="s">
        <v>636</v>
      </c>
      <c r="J17" s="139"/>
      <c r="V17" s="47"/>
      <c r="W17" s="47"/>
      <c r="X17" s="47"/>
      <c r="Y17" s="47"/>
      <c r="Z17" s="47"/>
      <c r="AA17" s="47"/>
      <c r="AB17" s="47"/>
    </row>
    <row r="18" spans="2:29" ht="12.75">
      <c r="B18" s="570" t="s">
        <v>206</v>
      </c>
      <c r="C18" s="621"/>
      <c r="D18" s="621"/>
      <c r="E18" s="621"/>
      <c r="F18" s="621"/>
      <c r="G18" s="621"/>
      <c r="H18" s="621"/>
      <c r="I18" s="621"/>
      <c r="J18" s="169"/>
      <c r="K18" s="169"/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0</v>
      </c>
      <c r="U18" s="169">
        <v>0</v>
      </c>
      <c r="V18" s="169">
        <v>0</v>
      </c>
      <c r="W18" s="169">
        <v>0</v>
      </c>
      <c r="X18" s="169">
        <v>0</v>
      </c>
      <c r="Y18" s="169">
        <v>0</v>
      </c>
      <c r="Z18" s="169">
        <v>0</v>
      </c>
      <c r="AA18" s="169">
        <v>0</v>
      </c>
      <c r="AB18" s="169">
        <v>0</v>
      </c>
      <c r="AC18" s="747" t="s">
        <v>637</v>
      </c>
    </row>
    <row r="19" spans="2:29" ht="12.75">
      <c r="B19" s="570" t="s">
        <v>206</v>
      </c>
      <c r="C19" s="617"/>
      <c r="D19" s="617"/>
      <c r="E19" s="617"/>
      <c r="F19" s="617"/>
      <c r="G19" s="617"/>
      <c r="H19" s="617"/>
      <c r="I19" s="617"/>
      <c r="J19" s="169"/>
      <c r="K19" s="169"/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69">
        <v>0</v>
      </c>
      <c r="W19" s="169">
        <v>0</v>
      </c>
      <c r="X19" s="169">
        <v>0</v>
      </c>
      <c r="Y19" s="169">
        <v>0</v>
      </c>
      <c r="Z19" s="169">
        <v>0</v>
      </c>
      <c r="AA19" s="169">
        <v>0</v>
      </c>
      <c r="AB19" s="169">
        <v>0</v>
      </c>
      <c r="AC19" s="357"/>
    </row>
    <row r="20" spans="2:29" ht="12.75">
      <c r="B20" s="570"/>
      <c r="C20" s="621"/>
      <c r="D20" s="621"/>
      <c r="E20" s="621"/>
      <c r="F20" s="621"/>
      <c r="G20" s="621"/>
      <c r="H20" s="621"/>
      <c r="I20" s="621"/>
      <c r="J20" s="169"/>
      <c r="K20" s="169"/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  <c r="AB20" s="169">
        <v>0</v>
      </c>
      <c r="AC20" s="357"/>
    </row>
    <row r="21" spans="2:29" ht="12.75">
      <c r="B21" s="570"/>
      <c r="C21" s="617"/>
      <c r="D21" s="617"/>
      <c r="E21" s="617"/>
      <c r="F21" s="617"/>
      <c r="G21" s="617"/>
      <c r="H21" s="617"/>
      <c r="I21" s="617"/>
      <c r="J21" s="169"/>
      <c r="K21" s="169"/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169">
        <v>0</v>
      </c>
      <c r="V21" s="169">
        <v>0</v>
      </c>
      <c r="W21" s="169">
        <v>0</v>
      </c>
      <c r="X21" s="169">
        <v>0</v>
      </c>
      <c r="Y21" s="169">
        <v>0</v>
      </c>
      <c r="Z21" s="169">
        <v>0</v>
      </c>
      <c r="AA21" s="169">
        <v>0</v>
      </c>
      <c r="AB21" s="169">
        <v>0</v>
      </c>
      <c r="AC21" s="357"/>
    </row>
    <row r="22" spans="2:29">
      <c r="B22" s="565"/>
      <c r="C22" s="617"/>
      <c r="D22" s="617"/>
      <c r="E22" s="617"/>
      <c r="F22" s="617"/>
      <c r="G22" s="617"/>
      <c r="H22" s="617"/>
      <c r="I22" s="617"/>
      <c r="J22" s="169"/>
      <c r="K22" s="169"/>
      <c r="L22" s="169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169">
        <v>0</v>
      </c>
      <c r="V22" s="169">
        <v>0</v>
      </c>
      <c r="W22" s="169">
        <v>0</v>
      </c>
      <c r="X22" s="169">
        <v>0</v>
      </c>
      <c r="Y22" s="169">
        <v>0</v>
      </c>
      <c r="Z22" s="169">
        <v>0</v>
      </c>
      <c r="AA22" s="169">
        <v>0</v>
      </c>
      <c r="AB22" s="169">
        <v>0</v>
      </c>
      <c r="AC22" s="357"/>
    </row>
    <row r="23" spans="2:29">
      <c r="B23" s="841" t="s">
        <v>638</v>
      </c>
      <c r="C23" s="842">
        <f t="shared" ref="C23:K23" si="36">SUM(C18:C22)</f>
        <v>0</v>
      </c>
      <c r="D23" s="842">
        <f t="shared" si="36"/>
        <v>0</v>
      </c>
      <c r="E23" s="842">
        <f t="shared" si="36"/>
        <v>0</v>
      </c>
      <c r="F23" s="842">
        <f t="shared" si="36"/>
        <v>0</v>
      </c>
      <c r="G23" s="842">
        <f t="shared" si="36"/>
        <v>0</v>
      </c>
      <c r="H23" s="842">
        <f t="shared" si="36"/>
        <v>0</v>
      </c>
      <c r="I23" s="842">
        <f t="shared" si="36"/>
        <v>0</v>
      </c>
      <c r="J23" s="842">
        <f t="shared" si="36"/>
        <v>0</v>
      </c>
      <c r="K23" s="842">
        <f t="shared" si="36"/>
        <v>0</v>
      </c>
      <c r="L23" s="842">
        <f t="shared" ref="L23:U23" si="37">SUM(L18:L22)</f>
        <v>0</v>
      </c>
      <c r="M23" s="842">
        <f t="shared" si="37"/>
        <v>0</v>
      </c>
      <c r="N23" s="842">
        <f t="shared" si="37"/>
        <v>0</v>
      </c>
      <c r="O23" s="842">
        <f t="shared" si="37"/>
        <v>0</v>
      </c>
      <c r="P23" s="842">
        <f t="shared" si="37"/>
        <v>0</v>
      </c>
      <c r="Q23" s="842">
        <f t="shared" si="37"/>
        <v>0</v>
      </c>
      <c r="R23" s="842">
        <f t="shared" si="37"/>
        <v>0</v>
      </c>
      <c r="S23" s="842">
        <f t="shared" si="37"/>
        <v>0</v>
      </c>
      <c r="T23" s="842">
        <f t="shared" si="37"/>
        <v>0</v>
      </c>
      <c r="U23" s="842">
        <f t="shared" si="37"/>
        <v>0</v>
      </c>
      <c r="V23" s="842">
        <f t="shared" ref="V23:W23" si="38">SUM(V18:V22)</f>
        <v>0</v>
      </c>
      <c r="W23" s="842">
        <f t="shared" si="38"/>
        <v>0</v>
      </c>
      <c r="X23" s="842">
        <f t="shared" ref="X23:Y23" si="39">SUM(X18:X22)</f>
        <v>0</v>
      </c>
      <c r="Y23" s="842">
        <f t="shared" si="39"/>
        <v>0</v>
      </c>
      <c r="Z23" s="842">
        <f t="shared" ref="Z23:AB23" si="40">SUM(Z18:Z22)</f>
        <v>0</v>
      </c>
      <c r="AA23" s="842">
        <f t="shared" si="40"/>
        <v>0</v>
      </c>
      <c r="AB23" s="842">
        <f t="shared" si="40"/>
        <v>0</v>
      </c>
      <c r="AC23" s="357"/>
    </row>
    <row r="24" spans="2:29">
      <c r="C24" s="20"/>
      <c r="D24" s="20"/>
      <c r="E24" s="20"/>
      <c r="F24" s="20"/>
      <c r="G24" s="20"/>
      <c r="H24" s="20"/>
      <c r="I24" s="20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357"/>
    </row>
    <row r="25" spans="2:29">
      <c r="B25" s="484" t="str">
        <f t="shared" ref="B25:B29" si="41">B18</f>
        <v xml:space="preserve"> </v>
      </c>
      <c r="C25" s="622"/>
      <c r="D25" s="622"/>
      <c r="E25" s="622"/>
      <c r="F25" s="622"/>
      <c r="G25" s="622"/>
      <c r="H25" s="622"/>
      <c r="I25" s="622"/>
      <c r="J25" s="169"/>
      <c r="K25" s="169"/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169">
        <v>0</v>
      </c>
      <c r="V25" s="169">
        <v>0</v>
      </c>
      <c r="W25" s="169">
        <v>0</v>
      </c>
      <c r="X25" s="169">
        <v>0</v>
      </c>
      <c r="Y25" s="169">
        <v>0</v>
      </c>
      <c r="Z25" s="169">
        <v>0</v>
      </c>
      <c r="AA25" s="169">
        <v>0</v>
      </c>
      <c r="AB25" s="169">
        <v>0</v>
      </c>
      <c r="AC25" s="357"/>
    </row>
    <row r="26" spans="2:29">
      <c r="B26" s="484" t="str">
        <f t="shared" si="41"/>
        <v xml:space="preserve"> </v>
      </c>
      <c r="C26" s="167"/>
      <c r="D26" s="167"/>
      <c r="E26" s="167"/>
      <c r="F26" s="167"/>
      <c r="G26" s="167"/>
      <c r="H26" s="167"/>
      <c r="I26" s="167"/>
      <c r="J26" s="169"/>
      <c r="K26" s="169"/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  <c r="AB26" s="169">
        <v>0</v>
      </c>
      <c r="AC26" s="357"/>
    </row>
    <row r="27" spans="2:29">
      <c r="B27" s="484">
        <f t="shared" si="41"/>
        <v>0</v>
      </c>
      <c r="C27" s="167"/>
      <c r="D27" s="167"/>
      <c r="E27" s="167"/>
      <c r="F27" s="167"/>
      <c r="G27" s="167"/>
      <c r="H27" s="167"/>
      <c r="I27" s="167"/>
      <c r="J27" s="169"/>
      <c r="K27" s="169"/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  <c r="AB27" s="169">
        <v>0</v>
      </c>
      <c r="AC27" s="357"/>
    </row>
    <row r="28" spans="2:29">
      <c r="B28" s="484">
        <f t="shared" si="41"/>
        <v>0</v>
      </c>
      <c r="C28" s="167"/>
      <c r="D28" s="167"/>
      <c r="E28" s="167"/>
      <c r="F28" s="167"/>
      <c r="G28" s="167"/>
      <c r="H28" s="167"/>
      <c r="I28" s="167"/>
      <c r="J28" s="169"/>
      <c r="K28" s="169"/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  <c r="AB28" s="169">
        <v>0</v>
      </c>
      <c r="AC28" s="357"/>
    </row>
    <row r="29" spans="2:29">
      <c r="B29" s="484">
        <f t="shared" si="41"/>
        <v>0</v>
      </c>
      <c r="C29" s="167"/>
      <c r="D29" s="167"/>
      <c r="E29" s="167"/>
      <c r="F29" s="167"/>
      <c r="G29" s="167"/>
      <c r="H29" s="167"/>
      <c r="I29" s="167"/>
      <c r="J29" s="169"/>
      <c r="K29" s="169"/>
      <c r="L29" s="169">
        <v>0</v>
      </c>
      <c r="M29" s="169">
        <v>0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169">
        <v>0</v>
      </c>
      <c r="V29" s="169">
        <v>0</v>
      </c>
      <c r="W29" s="169">
        <v>0</v>
      </c>
      <c r="X29" s="169">
        <v>0</v>
      </c>
      <c r="Y29" s="169">
        <v>0</v>
      </c>
      <c r="Z29" s="169">
        <v>0</v>
      </c>
      <c r="AA29" s="169">
        <v>0</v>
      </c>
      <c r="AB29" s="169">
        <v>0</v>
      </c>
      <c r="AC29" s="357"/>
    </row>
    <row r="30" spans="2:29">
      <c r="B30" s="843" t="s">
        <v>639</v>
      </c>
      <c r="C30" s="842">
        <f t="shared" ref="C30:K30" si="42">SUM(C25:C29)</f>
        <v>0</v>
      </c>
      <c r="D30" s="842">
        <f t="shared" si="42"/>
        <v>0</v>
      </c>
      <c r="E30" s="842">
        <f t="shared" si="42"/>
        <v>0</v>
      </c>
      <c r="F30" s="842">
        <f t="shared" si="42"/>
        <v>0</v>
      </c>
      <c r="G30" s="842">
        <f t="shared" si="42"/>
        <v>0</v>
      </c>
      <c r="H30" s="842">
        <f t="shared" si="42"/>
        <v>0</v>
      </c>
      <c r="I30" s="842">
        <f t="shared" si="42"/>
        <v>0</v>
      </c>
      <c r="J30" s="842">
        <f t="shared" si="42"/>
        <v>0</v>
      </c>
      <c r="K30" s="842">
        <f t="shared" si="42"/>
        <v>0</v>
      </c>
      <c r="L30" s="842">
        <f t="shared" ref="L30:U30" si="43">SUM(L25:L29)</f>
        <v>0</v>
      </c>
      <c r="M30" s="842">
        <f t="shared" si="43"/>
        <v>0</v>
      </c>
      <c r="N30" s="842">
        <f t="shared" si="43"/>
        <v>0</v>
      </c>
      <c r="O30" s="842">
        <f t="shared" si="43"/>
        <v>0</v>
      </c>
      <c r="P30" s="842">
        <f t="shared" si="43"/>
        <v>0</v>
      </c>
      <c r="Q30" s="842">
        <f t="shared" si="43"/>
        <v>0</v>
      </c>
      <c r="R30" s="842">
        <f t="shared" si="43"/>
        <v>0</v>
      </c>
      <c r="S30" s="842">
        <f t="shared" si="43"/>
        <v>0</v>
      </c>
      <c r="T30" s="842">
        <f t="shared" si="43"/>
        <v>0</v>
      </c>
      <c r="U30" s="842">
        <f t="shared" si="43"/>
        <v>0</v>
      </c>
      <c r="V30" s="842">
        <f t="shared" ref="V30:W30" si="44">SUM(V25:V29)</f>
        <v>0</v>
      </c>
      <c r="W30" s="842">
        <f t="shared" si="44"/>
        <v>0</v>
      </c>
      <c r="X30" s="842">
        <f t="shared" ref="X30:Y30" si="45">SUM(X25:X29)</f>
        <v>0</v>
      </c>
      <c r="Y30" s="842">
        <f t="shared" si="45"/>
        <v>0</v>
      </c>
      <c r="Z30" s="842">
        <f t="shared" ref="Z30:AB30" si="46">SUM(Z25:Z29)</f>
        <v>0</v>
      </c>
      <c r="AA30" s="842">
        <f t="shared" si="46"/>
        <v>0</v>
      </c>
      <c r="AB30" s="842">
        <f t="shared" si="46"/>
        <v>0</v>
      </c>
      <c r="AC30" s="357"/>
    </row>
    <row r="31" spans="2:29" ht="12.75" thickBot="1">
      <c r="B31" s="847" t="s">
        <v>640</v>
      </c>
      <c r="C31" s="848">
        <f t="shared" ref="C31:K31" si="47">C23+C30</f>
        <v>0</v>
      </c>
      <c r="D31" s="848">
        <f t="shared" si="47"/>
        <v>0</v>
      </c>
      <c r="E31" s="848">
        <f t="shared" si="47"/>
        <v>0</v>
      </c>
      <c r="F31" s="848">
        <f t="shared" si="47"/>
        <v>0</v>
      </c>
      <c r="G31" s="848">
        <f t="shared" si="47"/>
        <v>0</v>
      </c>
      <c r="H31" s="848">
        <f t="shared" si="47"/>
        <v>0</v>
      </c>
      <c r="I31" s="848">
        <f t="shared" si="47"/>
        <v>0</v>
      </c>
      <c r="J31" s="848">
        <f t="shared" si="47"/>
        <v>0</v>
      </c>
      <c r="K31" s="848">
        <f t="shared" si="47"/>
        <v>0</v>
      </c>
      <c r="L31" s="848">
        <f t="shared" ref="L31:O31" si="48">L23+L30</f>
        <v>0</v>
      </c>
      <c r="M31" s="848">
        <f t="shared" si="48"/>
        <v>0</v>
      </c>
      <c r="N31" s="848">
        <f t="shared" si="48"/>
        <v>0</v>
      </c>
      <c r="O31" s="848">
        <f t="shared" si="48"/>
        <v>0</v>
      </c>
      <c r="P31" s="848">
        <f>ROUND((P23+P30),0)</f>
        <v>0</v>
      </c>
      <c r="Q31" s="848">
        <f t="shared" ref="Q31:U31" si="49">ROUND((Q23+Q30),0)</f>
        <v>0</v>
      </c>
      <c r="R31" s="848">
        <f t="shared" si="49"/>
        <v>0</v>
      </c>
      <c r="S31" s="848">
        <f t="shared" si="49"/>
        <v>0</v>
      </c>
      <c r="T31" s="848">
        <f t="shared" si="49"/>
        <v>0</v>
      </c>
      <c r="U31" s="848">
        <f t="shared" si="49"/>
        <v>0</v>
      </c>
      <c r="V31" s="848">
        <f t="shared" ref="V31:W31" si="50">ROUND((V23+V30),0)</f>
        <v>0</v>
      </c>
      <c r="W31" s="848">
        <f t="shared" si="50"/>
        <v>0</v>
      </c>
      <c r="X31" s="848">
        <f t="shared" ref="X31:Y31" si="51">ROUND((X23+X30),0)</f>
        <v>0</v>
      </c>
      <c r="Y31" s="848">
        <f t="shared" si="51"/>
        <v>0</v>
      </c>
      <c r="Z31" s="848">
        <f t="shared" ref="Z31:AB31" si="52">ROUND((Z23+Z30),0)</f>
        <v>0</v>
      </c>
      <c r="AA31" s="848">
        <f t="shared" si="52"/>
        <v>0</v>
      </c>
      <c r="AB31" s="848">
        <f t="shared" si="52"/>
        <v>0</v>
      </c>
      <c r="AC31" s="357"/>
    </row>
    <row r="32" spans="2:29" ht="12.75" thickTop="1">
      <c r="J32" s="139"/>
      <c r="V32" s="47"/>
      <c r="W32" s="47"/>
      <c r="X32" s="47"/>
      <c r="Y32" s="47"/>
      <c r="Z32" s="47"/>
      <c r="AA32" s="47"/>
      <c r="AB32" s="47"/>
    </row>
    <row r="33" spans="2:30">
      <c r="B33" s="569" t="s">
        <v>641</v>
      </c>
      <c r="J33" s="139"/>
      <c r="V33" s="47"/>
      <c r="W33" s="47"/>
      <c r="X33" s="47"/>
      <c r="Y33" s="47"/>
      <c r="Z33" s="47"/>
      <c r="AA33" s="47"/>
      <c r="AB33" s="47"/>
    </row>
    <row r="34" spans="2:30">
      <c r="B34" s="566" t="s">
        <v>642</v>
      </c>
      <c r="C34" s="909"/>
      <c r="D34" s="909"/>
      <c r="E34" s="909"/>
      <c r="F34" s="909"/>
      <c r="G34" s="909"/>
      <c r="H34" s="909"/>
      <c r="I34" s="909"/>
      <c r="J34" s="909"/>
      <c r="K34" s="909"/>
      <c r="L34" s="909"/>
      <c r="M34" s="909"/>
      <c r="N34" s="909"/>
      <c r="O34" s="909"/>
      <c r="P34" s="909"/>
      <c r="Q34" s="909"/>
      <c r="R34" s="909"/>
      <c r="S34" s="909"/>
      <c r="T34" s="909"/>
      <c r="U34" s="909">
        <f t="shared" ref="U34:V34" si="53">IF($AC34&gt;U6,$AC34-U6,0)</f>
        <v>500000</v>
      </c>
      <c r="V34" s="909">
        <f t="shared" si="53"/>
        <v>500000</v>
      </c>
      <c r="W34" s="909">
        <f>IF($AC34&gt;W6,$AC34-W6,0)</f>
        <v>500000</v>
      </c>
      <c r="X34" s="909">
        <f>IF($AC34&gt;X6,$AC34-X6,0)</f>
        <v>500000</v>
      </c>
      <c r="Y34" s="909">
        <f>IF($AC34&gt;Y6,$AC34-Y6,0)</f>
        <v>500000</v>
      </c>
      <c r="Z34" s="909">
        <f>IF($AC34&gt;Z6,$AC34-Z6,0)</f>
        <v>500000</v>
      </c>
      <c r="AA34" s="909">
        <f t="shared" ref="AA34:AB34" si="54">IF($AC34&gt;AA6,$AC34-AA6,0)</f>
        <v>500000</v>
      </c>
      <c r="AB34" s="909">
        <f t="shared" si="54"/>
        <v>500000</v>
      </c>
      <c r="AC34" s="934">
        <v>500000</v>
      </c>
      <c r="AD34" s="931" t="s">
        <v>643</v>
      </c>
    </row>
    <row r="35" spans="2:30">
      <c r="B35" s="484" t="s">
        <v>644</v>
      </c>
      <c r="C35" s="18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>IF(((Revenue!Q13-Revenue!Q8-Revenue!Q9-Revenue!Q10+Revenue!Q19+Revenue!Q21+Revenue!Q26)*$AC35-R6)&gt;0,(Revenue!Q13-Revenue!Q8-Revenue!Q9-Revenue!Q10+Revenue!Q19+Revenue!Q21+Revenue!Q26)*$AC35-R6,0)</f>
        <v>1721313.3</v>
      </c>
      <c r="S35" s="169">
        <f>IF(((Revenue!R13-Revenue!R8-Revenue!R9-Revenue!R10+Revenue!R19+Revenue!R21+Revenue!R26)*$AC35-S6)&gt;0,(Revenue!R13-Revenue!R8-Revenue!R9-Revenue!R10+Revenue!R19+Revenue!R21+Revenue!R26)*$AC35-S6,0)</f>
        <v>1690652.6</v>
      </c>
      <c r="T35" s="169">
        <f>IF(((Revenue!S13-Revenue!S8-Revenue!S9-Revenue!S10+Revenue!S19+Revenue!S21+Revenue!S26)*$AC35-T6)&gt;0,(Revenue!S13-Revenue!S8-Revenue!S9-Revenue!S10+Revenue!S19+Revenue!S21+Revenue!S26)*$AC35-T6,0)</f>
        <v>1748217.8</v>
      </c>
      <c r="U35" s="169">
        <f>IF(((Revenue!T13-Revenue!T8-Revenue!T9-Revenue!T10+Revenue!T19+Revenue!T21+Revenue!T26)*$AC35-U6)&gt;0,(Revenue!T13-Revenue!T8-Revenue!T9-Revenue!T10+Revenue!T19+Revenue!T21+Revenue!T26)*$AC35-U6,0)</f>
        <v>1816175.7000000002</v>
      </c>
      <c r="V35" s="169">
        <f>IF(((Revenue!U13-Revenue!U8-Revenue!U9-Revenue!U10+Revenue!U19+Revenue!U21+Revenue!U26)*$AC35-V6)&gt;0,(Revenue!U13-Revenue!U8-Revenue!U9-Revenue!U10+Revenue!U19+Revenue!U21+Revenue!U26)*$AC35-V6,0)</f>
        <v>1887874.186</v>
      </c>
      <c r="W35" s="169">
        <f>IF(((Revenue!V13-Revenue!V8-Revenue!V9-Revenue!V10+Revenue!V19+Revenue!V21+Revenue!V26)*$AC35-W6)&gt;0,(Revenue!V13-Revenue!V8-Revenue!V9-Revenue!V10+Revenue!V19+Revenue!V21+Revenue!V26)*$AC35-W6,0)</f>
        <v>1959120.9880000004</v>
      </c>
      <c r="X35" s="169">
        <f>IF(((Revenue!W13-Revenue!W8-Revenue!W9-Revenue!W10+Revenue!W19+Revenue!W21+Revenue!W26)*$AC35-X6)&gt;0,(Revenue!W13-Revenue!W8-Revenue!W9-Revenue!W10+Revenue!W19+Revenue!W21+Revenue!W26)*$AC35-X6,0)</f>
        <v>2042435.6</v>
      </c>
      <c r="Y35" s="169">
        <f>IF(((Revenue!X13-Revenue!X8-Revenue!X9-Revenue!X10+Revenue!X19+Revenue!X21+Revenue!X26)*$AC35-Y6)&gt;0,(Revenue!X13-Revenue!X8-Revenue!X9-Revenue!X10+Revenue!X19+Revenue!X21+Revenue!X26)*$AC35-Y6,0)</f>
        <v>2144726.9600000004</v>
      </c>
      <c r="Z35" s="169">
        <f>IF(((Revenue!Y13-Revenue!Y8-Revenue!Y9-Revenue!Y10+Revenue!Y19+Revenue!Y21+Revenue!Y26)*$AC35-Z6)&gt;0,(Revenue!Y13-Revenue!Y8-Revenue!Y9-Revenue!Y10+Revenue!Y19+Revenue!Y21+Revenue!Y26)*$AC35-Z6,0)</f>
        <v>2212543.3820000002</v>
      </c>
      <c r="AA35" s="169">
        <f>IF(((Revenue!Z13-Revenue!Z8-Revenue!Z9-Revenue!Z10+Revenue!Z19+Revenue!Z21+Revenue!Z26)*$AC35-AA6)&gt;0,(Revenue!Z13-Revenue!Z8-Revenue!Z9-Revenue!Z10+Revenue!Z19+Revenue!Z21+Revenue!Z26)*$AC35-AA6,0)</f>
        <v>2282487.666704</v>
      </c>
      <c r="AB35" s="169">
        <f>IF(((Revenue!AA13-Revenue!AA8-Revenue!AA9-Revenue!AA10+Revenue!AA19+Revenue!AA21+Revenue!AA26)*$AC35-AB6)&gt;0,(Revenue!AA13-Revenue!AA8-Revenue!AA9-Revenue!AA10+Revenue!AA19+Revenue!AA21+Revenue!AA26)*$AC35-AB6,0)</f>
        <v>2354653.3746644519</v>
      </c>
      <c r="AC35" s="932">
        <v>0.1</v>
      </c>
      <c r="AD35" s="206" t="s">
        <v>645</v>
      </c>
    </row>
    <row r="36" spans="2:30">
      <c r="B36" s="933" t="s">
        <v>646</v>
      </c>
      <c r="C36" s="619">
        <v>0</v>
      </c>
      <c r="D36" s="619">
        <v>0</v>
      </c>
      <c r="E36" s="619">
        <v>0</v>
      </c>
      <c r="F36" s="619">
        <v>0</v>
      </c>
      <c r="G36" s="619">
        <v>0</v>
      </c>
      <c r="H36" s="619">
        <v>0</v>
      </c>
      <c r="I36" s="619">
        <v>0</v>
      </c>
      <c r="J36" s="930">
        <v>0</v>
      </c>
      <c r="K36" s="930">
        <v>0</v>
      </c>
      <c r="L36" s="930">
        <v>0</v>
      </c>
      <c r="M36" s="930">
        <v>0</v>
      </c>
      <c r="N36" s="930">
        <v>0</v>
      </c>
      <c r="O36" s="930">
        <v>0</v>
      </c>
      <c r="P36" s="930">
        <v>0</v>
      </c>
      <c r="Q36" s="930">
        <v>0</v>
      </c>
      <c r="R36" s="930">
        <v>0</v>
      </c>
      <c r="S36" s="930">
        <v>0</v>
      </c>
      <c r="T36" s="930">
        <v>0</v>
      </c>
      <c r="U36" s="930">
        <v>0</v>
      </c>
      <c r="V36" s="930">
        <v>0</v>
      </c>
      <c r="W36" s="930">
        <v>0</v>
      </c>
      <c r="X36" s="930">
        <v>0</v>
      </c>
      <c r="Y36" s="930">
        <v>0</v>
      </c>
      <c r="Z36" s="930">
        <v>0</v>
      </c>
      <c r="AA36" s="930">
        <v>0</v>
      </c>
      <c r="AB36" s="930">
        <v>0</v>
      </c>
      <c r="AC36" s="972">
        <f>AC35</f>
        <v>0.1</v>
      </c>
      <c r="AD36" s="206" t="s">
        <v>647</v>
      </c>
    </row>
    <row r="37" spans="2:30">
      <c r="B37" s="905"/>
      <c r="C37" s="20"/>
      <c r="D37" s="20"/>
      <c r="E37" s="20"/>
      <c r="F37" s="20"/>
      <c r="G37" s="20"/>
      <c r="H37" s="20"/>
      <c r="I37" s="20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357"/>
    </row>
    <row r="38" spans="2:30">
      <c r="B38" s="569" t="s">
        <v>648</v>
      </c>
      <c r="J38" s="139"/>
      <c r="V38" s="47"/>
      <c r="W38" s="47"/>
      <c r="X38" s="47"/>
      <c r="Y38" s="47"/>
      <c r="Z38" s="47"/>
      <c r="AA38" s="47"/>
      <c r="AB38" s="47"/>
      <c r="AC38" s="357"/>
    </row>
    <row r="39" spans="2:30" ht="12.75">
      <c r="B39" s="570" t="s">
        <v>649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160000</v>
      </c>
      <c r="U39" s="169">
        <v>165000</v>
      </c>
      <c r="V39" s="169">
        <v>170000</v>
      </c>
      <c r="W39" s="169">
        <v>175000</v>
      </c>
      <c r="X39" s="169">
        <f>W39+5000</f>
        <v>180000</v>
      </c>
      <c r="Y39" s="169">
        <f t="shared" ref="Y39:AB39" si="55">X39+5000</f>
        <v>185000</v>
      </c>
      <c r="Z39" s="169">
        <f t="shared" si="55"/>
        <v>190000</v>
      </c>
      <c r="AA39" s="169">
        <f t="shared" si="55"/>
        <v>195000</v>
      </c>
      <c r="AB39" s="169">
        <f t="shared" si="55"/>
        <v>200000</v>
      </c>
      <c r="AC39" s="357"/>
    </row>
    <row r="40" spans="2:30">
      <c r="B40" s="566" t="s">
        <v>650</v>
      </c>
      <c r="C40" s="169">
        <v>0</v>
      </c>
      <c r="D40" s="169">
        <v>0</v>
      </c>
      <c r="E40" s="169">
        <v>0</v>
      </c>
      <c r="F40" s="169">
        <v>0</v>
      </c>
      <c r="G40" s="169">
        <v>0</v>
      </c>
      <c r="H40" s="169">
        <v>0</v>
      </c>
      <c r="I40" s="169">
        <v>0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169">
        <v>250000</v>
      </c>
      <c r="V40" s="169">
        <v>250000</v>
      </c>
      <c r="W40" s="169">
        <v>250000</v>
      </c>
      <c r="X40" s="169">
        <v>0</v>
      </c>
      <c r="Y40" s="169">
        <v>0</v>
      </c>
      <c r="Z40" s="169">
        <v>0</v>
      </c>
      <c r="AA40" s="169"/>
      <c r="AB40" s="169"/>
      <c r="AC40" s="357"/>
    </row>
    <row r="41" spans="2:30">
      <c r="B41" s="566" t="s">
        <v>651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>
        <v>0</v>
      </c>
      <c r="X41" s="169">
        <v>675000</v>
      </c>
      <c r="Y41" s="169">
        <v>950000</v>
      </c>
      <c r="Z41" s="169">
        <f>Y41+50000</f>
        <v>1000000</v>
      </c>
      <c r="AA41" s="169">
        <f t="shared" ref="AA41:AB41" si="56">Z41+50000</f>
        <v>1050000</v>
      </c>
      <c r="AB41" s="169">
        <f t="shared" si="56"/>
        <v>1100000</v>
      </c>
      <c r="AC41" s="357"/>
    </row>
    <row r="42" spans="2:30">
      <c r="B42" s="566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357"/>
    </row>
    <row r="43" spans="2:30">
      <c r="B43" s="566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357"/>
    </row>
    <row r="44" spans="2:30">
      <c r="B44" s="566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357"/>
    </row>
    <row r="45" spans="2:30">
      <c r="B45" s="566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357"/>
    </row>
    <row r="46" spans="2:30">
      <c r="B46" s="566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357"/>
    </row>
    <row r="47" spans="2:30">
      <c r="B47" s="566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357"/>
    </row>
    <row r="48" spans="2:30">
      <c r="B48" s="566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357"/>
    </row>
    <row r="49" spans="1:29">
      <c r="B49" s="566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357"/>
    </row>
    <row r="50" spans="1:29">
      <c r="B50" s="566"/>
      <c r="C50" s="623"/>
      <c r="D50" s="623"/>
      <c r="E50" s="623"/>
      <c r="F50" s="623"/>
      <c r="G50" s="623"/>
      <c r="H50" s="167"/>
      <c r="I50" s="167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357"/>
    </row>
    <row r="51" spans="1:29">
      <c r="B51" s="566"/>
      <c r="C51" s="169"/>
      <c r="D51" s="169"/>
      <c r="E51" s="169"/>
      <c r="F51" s="169"/>
      <c r="G51" s="169"/>
      <c r="H51" s="169"/>
      <c r="I51" s="169"/>
      <c r="J51" s="169"/>
      <c r="K51" s="169"/>
      <c r="L51" s="169">
        <v>0</v>
      </c>
      <c r="M51" s="169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169">
        <v>0</v>
      </c>
      <c r="V51" s="169">
        <v>0</v>
      </c>
      <c r="W51" s="169">
        <v>0</v>
      </c>
      <c r="X51" s="169">
        <v>0</v>
      </c>
      <c r="Y51" s="169">
        <v>0</v>
      </c>
      <c r="Z51" s="169">
        <v>0</v>
      </c>
      <c r="AA51" s="169">
        <v>0</v>
      </c>
      <c r="AB51" s="169">
        <v>0</v>
      </c>
      <c r="AC51" s="357"/>
    </row>
    <row r="52" spans="1:29">
      <c r="B52" s="841" t="s">
        <v>652</v>
      </c>
      <c r="C52" s="844">
        <f t="shared" ref="C52:K52" si="57">SUM(C39:C51)</f>
        <v>0</v>
      </c>
      <c r="D52" s="844">
        <f t="shared" si="57"/>
        <v>0</v>
      </c>
      <c r="E52" s="844">
        <f t="shared" si="57"/>
        <v>0</v>
      </c>
      <c r="F52" s="844">
        <f>SUM(F39:F51)</f>
        <v>0</v>
      </c>
      <c r="G52" s="844">
        <f t="shared" si="57"/>
        <v>0</v>
      </c>
      <c r="H52" s="844">
        <f t="shared" si="57"/>
        <v>0</v>
      </c>
      <c r="I52" s="844">
        <f t="shared" si="57"/>
        <v>0</v>
      </c>
      <c r="J52" s="844">
        <f t="shared" si="57"/>
        <v>0</v>
      </c>
      <c r="K52" s="844">
        <f t="shared" si="57"/>
        <v>0</v>
      </c>
      <c r="L52" s="844">
        <f t="shared" ref="L52:U52" si="58">SUM(L39:L51)</f>
        <v>0</v>
      </c>
      <c r="M52" s="844">
        <f t="shared" si="58"/>
        <v>0</v>
      </c>
      <c r="N52" s="844">
        <f t="shared" si="58"/>
        <v>0</v>
      </c>
      <c r="O52" s="844">
        <f t="shared" si="58"/>
        <v>0</v>
      </c>
      <c r="P52" s="844">
        <f t="shared" si="58"/>
        <v>0</v>
      </c>
      <c r="Q52" s="844">
        <f t="shared" si="58"/>
        <v>0</v>
      </c>
      <c r="R52" s="844">
        <f t="shared" si="58"/>
        <v>0</v>
      </c>
      <c r="S52" s="844">
        <f t="shared" si="58"/>
        <v>0</v>
      </c>
      <c r="T52" s="844">
        <f t="shared" si="58"/>
        <v>160000</v>
      </c>
      <c r="U52" s="844">
        <f t="shared" si="58"/>
        <v>415000</v>
      </c>
      <c r="V52" s="844">
        <f t="shared" ref="V52:W52" si="59">SUM(V39:V51)</f>
        <v>420000</v>
      </c>
      <c r="W52" s="844">
        <f t="shared" si="59"/>
        <v>425000</v>
      </c>
      <c r="X52" s="844">
        <f t="shared" ref="X52:Y52" si="60">SUM(X39:X51)</f>
        <v>855000</v>
      </c>
      <c r="Y52" s="844">
        <f t="shared" si="60"/>
        <v>1135000</v>
      </c>
      <c r="Z52" s="844">
        <f t="shared" ref="Z52:AB52" si="61">SUM(Z39:Z51)</f>
        <v>1190000</v>
      </c>
      <c r="AA52" s="844">
        <f t="shared" si="61"/>
        <v>1245000</v>
      </c>
      <c r="AB52" s="844">
        <f t="shared" si="61"/>
        <v>1300000</v>
      </c>
      <c r="AC52" s="357"/>
    </row>
    <row r="53" spans="1:29">
      <c r="C53" s="20"/>
      <c r="D53" s="20"/>
      <c r="E53" s="20"/>
      <c r="F53" s="20"/>
      <c r="G53" s="20"/>
      <c r="H53" s="20"/>
      <c r="I53" s="20"/>
      <c r="J53" s="208"/>
      <c r="K53" s="208"/>
      <c r="L53" s="208"/>
      <c r="M53" s="208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357"/>
    </row>
    <row r="54" spans="1:29">
      <c r="B54" s="566" t="str">
        <f>+B39</f>
        <v>Town Office Building (Retired FY2035)</v>
      </c>
      <c r="C54" s="623"/>
      <c r="D54" s="623"/>
      <c r="E54" s="623"/>
      <c r="F54" s="623"/>
      <c r="G54" s="623"/>
      <c r="H54" s="623"/>
      <c r="I54" s="623"/>
      <c r="J54" s="169"/>
      <c r="K54" s="169"/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39675</v>
      </c>
      <c r="U54" s="169">
        <v>37275</v>
      </c>
      <c r="V54" s="169">
        <v>69600</v>
      </c>
      <c r="W54" s="169">
        <v>64500</v>
      </c>
      <c r="X54" s="169">
        <f>29625*2</f>
        <v>59250</v>
      </c>
      <c r="Y54" s="169">
        <f>26925*2</f>
        <v>53850</v>
      </c>
      <c r="Z54" s="169">
        <f>24150*2</f>
        <v>48300</v>
      </c>
      <c r="AA54" s="169">
        <f>21300*2</f>
        <v>42600</v>
      </c>
      <c r="AB54" s="169">
        <f>18131.25*2</f>
        <v>36262.5</v>
      </c>
      <c r="AC54" s="357"/>
    </row>
    <row r="55" spans="1:29">
      <c r="A55" s="200"/>
      <c r="B55" s="566" t="str">
        <f t="shared" ref="B55:B65" si="62">+B40</f>
        <v>Municipal Purpose</v>
      </c>
      <c r="C55" s="623"/>
      <c r="D55" s="623"/>
      <c r="E55" s="623"/>
      <c r="F55" s="623"/>
      <c r="G55" s="623"/>
      <c r="H55" s="623"/>
      <c r="I55" s="623"/>
      <c r="J55" s="169"/>
      <c r="K55" s="169"/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169">
        <v>24938</v>
      </c>
      <c r="V55" s="169">
        <v>14963</v>
      </c>
      <c r="W55" s="169">
        <v>4988</v>
      </c>
      <c r="X55" s="169">
        <v>0</v>
      </c>
      <c r="Y55" s="169">
        <v>0</v>
      </c>
      <c r="Z55" s="169">
        <v>0</v>
      </c>
      <c r="AA55" s="169">
        <v>0</v>
      </c>
      <c r="AB55" s="169">
        <v>0</v>
      </c>
      <c r="AC55" s="357"/>
    </row>
    <row r="56" spans="1:29">
      <c r="A56" s="200"/>
      <c r="B56" s="566" t="str">
        <f t="shared" si="62"/>
        <v>Berkley Community School</v>
      </c>
      <c r="C56" s="623"/>
      <c r="D56" s="623"/>
      <c r="E56" s="623"/>
      <c r="F56" s="623"/>
      <c r="G56" s="623"/>
      <c r="H56" s="623"/>
      <c r="I56" s="623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>
        <v>245839</v>
      </c>
      <c r="X56" s="169">
        <v>1795776</v>
      </c>
      <c r="Y56" s="169">
        <v>2200000</v>
      </c>
      <c r="Z56" s="169">
        <f>Y56-50000</f>
        <v>2150000</v>
      </c>
      <c r="AA56" s="169">
        <f t="shared" ref="AA56:AB56" si="63">Z56-50000</f>
        <v>2100000</v>
      </c>
      <c r="AB56" s="169">
        <f t="shared" si="63"/>
        <v>2050000</v>
      </c>
      <c r="AC56" s="357"/>
    </row>
    <row r="57" spans="1:29">
      <c r="A57" s="200"/>
      <c r="B57" s="566">
        <f t="shared" si="62"/>
        <v>0</v>
      </c>
      <c r="C57" s="623"/>
      <c r="D57" s="623"/>
      <c r="E57" s="623"/>
      <c r="F57" s="623"/>
      <c r="G57" s="623"/>
      <c r="H57" s="623"/>
      <c r="I57" s="623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357"/>
    </row>
    <row r="58" spans="1:29">
      <c r="A58" s="200"/>
      <c r="B58" s="566">
        <f t="shared" si="62"/>
        <v>0</v>
      </c>
      <c r="C58" s="623"/>
      <c r="D58" s="623"/>
      <c r="E58" s="623"/>
      <c r="F58" s="623"/>
      <c r="G58" s="623"/>
      <c r="H58" s="623"/>
      <c r="I58" s="623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357"/>
    </row>
    <row r="59" spans="1:29">
      <c r="A59" s="200"/>
      <c r="B59" s="566">
        <f t="shared" si="62"/>
        <v>0</v>
      </c>
      <c r="C59" s="623"/>
      <c r="D59" s="623"/>
      <c r="E59" s="623"/>
      <c r="F59" s="623"/>
      <c r="G59" s="623"/>
      <c r="H59" s="623"/>
      <c r="I59" s="623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357"/>
    </row>
    <row r="60" spans="1:29">
      <c r="A60" s="200"/>
      <c r="B60" s="566">
        <f t="shared" si="62"/>
        <v>0</v>
      </c>
      <c r="C60" s="623"/>
      <c r="D60" s="623"/>
      <c r="E60" s="623"/>
      <c r="F60" s="623"/>
      <c r="G60" s="623"/>
      <c r="H60" s="623"/>
      <c r="I60" s="623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357"/>
    </row>
    <row r="61" spans="1:29">
      <c r="A61" s="200"/>
      <c r="B61" s="566">
        <f t="shared" si="62"/>
        <v>0</v>
      </c>
      <c r="C61" s="623"/>
      <c r="D61" s="623"/>
      <c r="E61" s="623"/>
      <c r="F61" s="623"/>
      <c r="G61" s="623"/>
      <c r="H61" s="623"/>
      <c r="I61" s="623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357"/>
    </row>
    <row r="62" spans="1:29">
      <c r="A62" s="200"/>
      <c r="B62" s="566">
        <f t="shared" si="62"/>
        <v>0</v>
      </c>
      <c r="C62" s="623"/>
      <c r="D62" s="623"/>
      <c r="E62" s="623"/>
      <c r="F62" s="623"/>
      <c r="G62" s="623"/>
      <c r="H62" s="623"/>
      <c r="I62" s="623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357"/>
    </row>
    <row r="63" spans="1:29">
      <c r="A63" s="200"/>
      <c r="B63" s="566">
        <f t="shared" si="62"/>
        <v>0</v>
      </c>
      <c r="C63" s="623"/>
      <c r="D63" s="623"/>
      <c r="E63" s="623"/>
      <c r="F63" s="623"/>
      <c r="G63" s="623"/>
      <c r="H63" s="623"/>
      <c r="I63" s="623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357"/>
    </row>
    <row r="64" spans="1:29">
      <c r="A64" s="200"/>
      <c r="B64" s="566">
        <f t="shared" si="62"/>
        <v>0</v>
      </c>
      <c r="C64" s="623"/>
      <c r="D64" s="623"/>
      <c r="E64" s="623"/>
      <c r="F64" s="623"/>
      <c r="G64" s="623"/>
      <c r="H64" s="623"/>
      <c r="I64" s="623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357"/>
    </row>
    <row r="65" spans="1:30">
      <c r="A65" s="200"/>
      <c r="B65" s="566">
        <f t="shared" si="62"/>
        <v>0</v>
      </c>
      <c r="C65" s="623"/>
      <c r="D65" s="623"/>
      <c r="E65" s="623"/>
      <c r="F65" s="623"/>
      <c r="G65" s="623"/>
      <c r="H65" s="623"/>
      <c r="I65" s="623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357"/>
    </row>
    <row r="66" spans="1:30">
      <c r="B66" s="566"/>
      <c r="C66" s="169"/>
      <c r="D66" s="169"/>
      <c r="E66" s="169"/>
      <c r="F66" s="169"/>
      <c r="G66" s="169"/>
      <c r="H66" s="169"/>
      <c r="I66" s="169"/>
      <c r="J66" s="169"/>
      <c r="K66" s="169"/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69">
        <v>0</v>
      </c>
      <c r="Z66" s="169">
        <v>0</v>
      </c>
      <c r="AA66" s="169">
        <v>0</v>
      </c>
      <c r="AB66" s="169">
        <v>0</v>
      </c>
      <c r="AC66" s="357"/>
    </row>
    <row r="67" spans="1:30">
      <c r="B67" s="843" t="s">
        <v>653</v>
      </c>
      <c r="C67" s="844">
        <f t="shared" ref="C67:K67" si="64">SUM(C54:C66)</f>
        <v>0</v>
      </c>
      <c r="D67" s="844">
        <f t="shared" si="64"/>
        <v>0</v>
      </c>
      <c r="E67" s="844">
        <f t="shared" si="64"/>
        <v>0</v>
      </c>
      <c r="F67" s="844">
        <f t="shared" si="64"/>
        <v>0</v>
      </c>
      <c r="G67" s="844">
        <f t="shared" si="64"/>
        <v>0</v>
      </c>
      <c r="H67" s="844">
        <f t="shared" si="64"/>
        <v>0</v>
      </c>
      <c r="I67" s="844">
        <f t="shared" si="64"/>
        <v>0</v>
      </c>
      <c r="J67" s="844">
        <f t="shared" si="64"/>
        <v>0</v>
      </c>
      <c r="K67" s="844">
        <f t="shared" si="64"/>
        <v>0</v>
      </c>
      <c r="L67" s="844">
        <f t="shared" ref="L67:U67" si="65">SUM(L54:L66)</f>
        <v>0</v>
      </c>
      <c r="M67" s="844">
        <f t="shared" si="65"/>
        <v>0</v>
      </c>
      <c r="N67" s="844">
        <f t="shared" si="65"/>
        <v>0</v>
      </c>
      <c r="O67" s="844">
        <f t="shared" si="65"/>
        <v>0</v>
      </c>
      <c r="P67" s="844">
        <f t="shared" si="65"/>
        <v>0</v>
      </c>
      <c r="Q67" s="844">
        <f t="shared" si="65"/>
        <v>0</v>
      </c>
      <c r="R67" s="844">
        <f t="shared" si="65"/>
        <v>0</v>
      </c>
      <c r="S67" s="844">
        <f t="shared" si="65"/>
        <v>0</v>
      </c>
      <c r="T67" s="844">
        <f t="shared" si="65"/>
        <v>39675</v>
      </c>
      <c r="U67" s="844">
        <f t="shared" si="65"/>
        <v>62213</v>
      </c>
      <c r="V67" s="844">
        <f t="shared" ref="V67:W67" si="66">SUM(V54:V66)</f>
        <v>84563</v>
      </c>
      <c r="W67" s="844">
        <f t="shared" si="66"/>
        <v>315327</v>
      </c>
      <c r="X67" s="844">
        <f t="shared" ref="X67:Y67" si="67">SUM(X54:X66)</f>
        <v>1855026</v>
      </c>
      <c r="Y67" s="844">
        <f t="shared" si="67"/>
        <v>2253850</v>
      </c>
      <c r="Z67" s="844">
        <f t="shared" ref="Z67:AB67" si="68">SUM(Z54:Z66)</f>
        <v>2198300</v>
      </c>
      <c r="AA67" s="844">
        <f t="shared" si="68"/>
        <v>2142600</v>
      </c>
      <c r="AB67" s="844">
        <f t="shared" si="68"/>
        <v>2086262.5</v>
      </c>
      <c r="AC67" s="357"/>
    </row>
    <row r="68" spans="1:30" ht="12.75" thickBot="1">
      <c r="B68" s="847" t="s">
        <v>654</v>
      </c>
      <c r="C68" s="849">
        <f t="shared" ref="C68:K68" si="69">C52+C67</f>
        <v>0</v>
      </c>
      <c r="D68" s="849">
        <f t="shared" si="69"/>
        <v>0</v>
      </c>
      <c r="E68" s="849">
        <f t="shared" si="69"/>
        <v>0</v>
      </c>
      <c r="F68" s="849">
        <f t="shared" si="69"/>
        <v>0</v>
      </c>
      <c r="G68" s="849">
        <f t="shared" si="69"/>
        <v>0</v>
      </c>
      <c r="H68" s="849">
        <f t="shared" si="69"/>
        <v>0</v>
      </c>
      <c r="I68" s="849">
        <f t="shared" si="69"/>
        <v>0</v>
      </c>
      <c r="J68" s="849">
        <f t="shared" si="69"/>
        <v>0</v>
      </c>
      <c r="K68" s="849">
        <f t="shared" si="69"/>
        <v>0</v>
      </c>
      <c r="L68" s="849">
        <f t="shared" ref="L68:O68" si="70">L52+L67</f>
        <v>0</v>
      </c>
      <c r="M68" s="849">
        <f t="shared" si="70"/>
        <v>0</v>
      </c>
      <c r="N68" s="849">
        <f t="shared" si="70"/>
        <v>0</v>
      </c>
      <c r="O68" s="849">
        <f t="shared" si="70"/>
        <v>0</v>
      </c>
      <c r="P68" s="849">
        <f>ROUND((P52+P67),0)</f>
        <v>0</v>
      </c>
      <c r="Q68" s="849">
        <f t="shared" ref="Q68:U68" si="71">ROUND((Q52+Q67),0)</f>
        <v>0</v>
      </c>
      <c r="R68" s="849">
        <f t="shared" si="71"/>
        <v>0</v>
      </c>
      <c r="S68" s="849">
        <f t="shared" si="71"/>
        <v>0</v>
      </c>
      <c r="T68" s="849">
        <f t="shared" si="71"/>
        <v>199675</v>
      </c>
      <c r="U68" s="849">
        <f t="shared" si="71"/>
        <v>477213</v>
      </c>
      <c r="V68" s="849">
        <f t="shared" ref="V68:W68" si="72">ROUND((V52+V67),0)</f>
        <v>504563</v>
      </c>
      <c r="W68" s="849">
        <f t="shared" si="72"/>
        <v>740327</v>
      </c>
      <c r="X68" s="849">
        <f t="shared" ref="X68:Y68" si="73">ROUND((X52+X67),0)</f>
        <v>2710026</v>
      </c>
      <c r="Y68" s="849">
        <f t="shared" si="73"/>
        <v>3388850</v>
      </c>
      <c r="Z68" s="849">
        <f t="shared" ref="Z68:AB68" si="74">ROUND((Z52+Z67),0)</f>
        <v>3388300</v>
      </c>
      <c r="AA68" s="849">
        <f t="shared" si="74"/>
        <v>3387600</v>
      </c>
      <c r="AB68" s="849">
        <f t="shared" si="74"/>
        <v>3386263</v>
      </c>
      <c r="AC68" s="357"/>
    </row>
    <row r="69" spans="1:30" ht="12.75" thickTop="1">
      <c r="C69" s="20"/>
      <c r="D69" s="20"/>
      <c r="E69" s="20"/>
      <c r="F69" s="20"/>
      <c r="G69" s="20"/>
      <c r="H69" s="20"/>
      <c r="I69" s="20"/>
      <c r="J69" s="20"/>
      <c r="K69" s="624"/>
      <c r="L69" s="624"/>
      <c r="M69" s="624"/>
      <c r="N69" s="624"/>
      <c r="O69" s="624"/>
      <c r="P69" s="624"/>
      <c r="Q69" s="624"/>
      <c r="R69" s="624"/>
      <c r="S69" s="624"/>
      <c r="T69" s="624"/>
      <c r="U69" s="624"/>
      <c r="V69" s="624"/>
      <c r="W69" s="624"/>
      <c r="X69" s="624"/>
      <c r="Y69" s="624"/>
      <c r="Z69" s="624"/>
      <c r="AA69" s="624"/>
      <c r="AB69" s="624"/>
      <c r="AC69" s="357"/>
    </row>
    <row r="70" spans="1:30">
      <c r="B70" s="569" t="s">
        <v>629</v>
      </c>
      <c r="C70" s="20"/>
      <c r="D70" s="20"/>
      <c r="E70" s="20"/>
      <c r="F70" s="20"/>
      <c r="G70" s="20"/>
      <c r="H70" s="20"/>
      <c r="I70" s="20"/>
      <c r="J70" s="208"/>
      <c r="K70" s="208"/>
      <c r="L70" s="208"/>
      <c r="M70" s="208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357"/>
    </row>
    <row r="71" spans="1:30" ht="12.75">
      <c r="B71" s="570" t="s">
        <v>655</v>
      </c>
      <c r="C71" s="617"/>
      <c r="D71" s="617"/>
      <c r="E71" s="617"/>
      <c r="F71" s="617"/>
      <c r="G71" s="617"/>
      <c r="H71" s="617"/>
      <c r="I71" s="617"/>
      <c r="J71" s="169"/>
      <c r="K71" s="169"/>
      <c r="L71" s="169">
        <v>0</v>
      </c>
      <c r="M71" s="169">
        <v>0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169">
        <v>0</v>
      </c>
      <c r="V71" s="169">
        <v>0</v>
      </c>
      <c r="W71" s="169">
        <v>0</v>
      </c>
      <c r="X71" s="169">
        <v>0</v>
      </c>
      <c r="Y71" s="169">
        <v>0</v>
      </c>
      <c r="Z71" s="169">
        <v>0</v>
      </c>
      <c r="AA71" s="169">
        <v>0</v>
      </c>
      <c r="AB71" s="169">
        <v>0</v>
      </c>
      <c r="AC71" s="357"/>
    </row>
    <row r="72" spans="1:30" ht="12.75">
      <c r="B72" s="570" t="s">
        <v>655</v>
      </c>
      <c r="C72" s="617"/>
      <c r="D72" s="617"/>
      <c r="E72" s="617"/>
      <c r="F72" s="617"/>
      <c r="G72" s="617"/>
      <c r="H72" s="617"/>
      <c r="I72" s="617"/>
      <c r="J72" s="169"/>
      <c r="K72" s="169"/>
      <c r="L72" s="169">
        <v>0</v>
      </c>
      <c r="M72" s="169">
        <v>0</v>
      </c>
      <c r="N72" s="169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169">
        <v>0</v>
      </c>
      <c r="V72" s="169">
        <v>0</v>
      </c>
      <c r="W72" s="169">
        <v>0</v>
      </c>
      <c r="X72" s="169">
        <v>0</v>
      </c>
      <c r="Y72" s="169">
        <v>0</v>
      </c>
      <c r="Z72" s="169">
        <v>0</v>
      </c>
      <c r="AA72" s="169">
        <v>0</v>
      </c>
      <c r="AB72" s="169">
        <v>0</v>
      </c>
      <c r="AC72" s="357"/>
    </row>
    <row r="73" spans="1:30" ht="12.75">
      <c r="B73" s="570"/>
      <c r="C73" s="623"/>
      <c r="D73" s="623"/>
      <c r="E73" s="623"/>
      <c r="F73" s="623"/>
      <c r="G73" s="623"/>
      <c r="H73" s="623"/>
      <c r="I73" s="623"/>
      <c r="J73" s="169"/>
      <c r="K73" s="169"/>
      <c r="L73" s="169">
        <v>0</v>
      </c>
      <c r="M73" s="169">
        <v>0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169">
        <v>0</v>
      </c>
      <c r="V73" s="169">
        <v>0</v>
      </c>
      <c r="W73" s="169">
        <v>0</v>
      </c>
      <c r="X73" s="169">
        <v>0</v>
      </c>
      <c r="Y73" s="169">
        <v>0</v>
      </c>
      <c r="Z73" s="169">
        <v>0</v>
      </c>
      <c r="AA73" s="169">
        <v>0</v>
      </c>
      <c r="AB73" s="169">
        <v>0</v>
      </c>
      <c r="AC73" s="357"/>
    </row>
    <row r="74" spans="1:30" ht="12.75">
      <c r="B74" s="570"/>
      <c r="C74" s="623"/>
      <c r="D74" s="623"/>
      <c r="E74" s="623"/>
      <c r="F74" s="623"/>
      <c r="G74" s="623"/>
      <c r="H74" s="623"/>
      <c r="I74" s="623"/>
      <c r="J74" s="169"/>
      <c r="K74" s="169"/>
      <c r="L74" s="169">
        <v>0</v>
      </c>
      <c r="M74" s="169">
        <v>0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169">
        <v>0</v>
      </c>
      <c r="V74" s="169">
        <v>0</v>
      </c>
      <c r="W74" s="169">
        <v>0</v>
      </c>
      <c r="X74" s="169">
        <v>0</v>
      </c>
      <c r="Y74" s="169">
        <v>0</v>
      </c>
      <c r="Z74" s="169">
        <v>0</v>
      </c>
      <c r="AA74" s="169">
        <v>0</v>
      </c>
      <c r="AB74" s="169">
        <v>0</v>
      </c>
      <c r="AC74" s="357"/>
    </row>
    <row r="75" spans="1:30">
      <c r="B75" s="566"/>
      <c r="C75" s="169"/>
      <c r="D75" s="169"/>
      <c r="E75" s="169"/>
      <c r="F75" s="169"/>
      <c r="G75" s="169"/>
      <c r="H75" s="169"/>
      <c r="I75" s="169"/>
      <c r="J75" s="169"/>
      <c r="K75" s="169"/>
      <c r="L75" s="169">
        <v>0</v>
      </c>
      <c r="M75" s="169">
        <v>0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169">
        <v>0</v>
      </c>
      <c r="V75" s="169">
        <v>0</v>
      </c>
      <c r="W75" s="169">
        <v>0</v>
      </c>
      <c r="X75" s="169">
        <v>0</v>
      </c>
      <c r="Y75" s="169">
        <v>0</v>
      </c>
      <c r="Z75" s="169">
        <v>0</v>
      </c>
      <c r="AA75" s="169">
        <v>0</v>
      </c>
      <c r="AB75" s="169">
        <v>0</v>
      </c>
      <c r="AC75" s="357"/>
    </row>
    <row r="76" spans="1:30">
      <c r="B76" s="841" t="s">
        <v>656</v>
      </c>
      <c r="C76" s="844">
        <f t="shared" ref="C76:K76" si="75">SUM(C71:C75)</f>
        <v>0</v>
      </c>
      <c r="D76" s="844">
        <f t="shared" si="75"/>
        <v>0</v>
      </c>
      <c r="E76" s="844">
        <f t="shared" si="75"/>
        <v>0</v>
      </c>
      <c r="F76" s="844">
        <f t="shared" si="75"/>
        <v>0</v>
      </c>
      <c r="G76" s="844">
        <f t="shared" si="75"/>
        <v>0</v>
      </c>
      <c r="H76" s="844">
        <f t="shared" si="75"/>
        <v>0</v>
      </c>
      <c r="I76" s="844">
        <f t="shared" si="75"/>
        <v>0</v>
      </c>
      <c r="J76" s="844">
        <f t="shared" si="75"/>
        <v>0</v>
      </c>
      <c r="K76" s="844">
        <f t="shared" si="75"/>
        <v>0</v>
      </c>
      <c r="L76" s="844">
        <f t="shared" ref="L76:O76" si="76">SUM(L71:L75)</f>
        <v>0</v>
      </c>
      <c r="M76" s="844">
        <f t="shared" si="76"/>
        <v>0</v>
      </c>
      <c r="N76" s="844">
        <f t="shared" si="76"/>
        <v>0</v>
      </c>
      <c r="O76" s="844">
        <f t="shared" si="76"/>
        <v>0</v>
      </c>
      <c r="P76" s="844">
        <f>ROUND(SUM(P71:P75),0)</f>
        <v>0</v>
      </c>
      <c r="Q76" s="844">
        <f t="shared" ref="Q76:U76" si="77">ROUND(SUM(Q71:Q75),0)</f>
        <v>0</v>
      </c>
      <c r="R76" s="844">
        <f t="shared" si="77"/>
        <v>0</v>
      </c>
      <c r="S76" s="844">
        <f t="shared" si="77"/>
        <v>0</v>
      </c>
      <c r="T76" s="844">
        <f t="shared" si="77"/>
        <v>0</v>
      </c>
      <c r="U76" s="844">
        <f t="shared" si="77"/>
        <v>0</v>
      </c>
      <c r="V76" s="844">
        <f t="shared" ref="V76:W76" si="78">ROUND(SUM(V71:V75),0)</f>
        <v>0</v>
      </c>
      <c r="W76" s="844">
        <f t="shared" si="78"/>
        <v>0</v>
      </c>
      <c r="X76" s="844">
        <f t="shared" ref="X76:Y76" si="79">ROUND(SUM(X71:X75),0)</f>
        <v>0</v>
      </c>
      <c r="Y76" s="844">
        <f t="shared" si="79"/>
        <v>0</v>
      </c>
      <c r="Z76" s="844">
        <f t="shared" ref="Z76:AB76" si="80">ROUND(SUM(Z71:Z75),0)</f>
        <v>0</v>
      </c>
      <c r="AA76" s="844">
        <f t="shared" si="80"/>
        <v>0</v>
      </c>
      <c r="AB76" s="844">
        <f t="shared" si="80"/>
        <v>0</v>
      </c>
      <c r="AC76" s="357"/>
    </row>
    <row r="77" spans="1:30">
      <c r="C77" s="20"/>
      <c r="D77" s="20"/>
      <c r="E77" s="20"/>
      <c r="F77" s="20"/>
      <c r="G77" s="20"/>
      <c r="H77" s="20"/>
      <c r="I77" s="20"/>
      <c r="J77" s="208"/>
      <c r="K77" s="208"/>
      <c r="L77" s="208"/>
      <c r="M77" s="208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907"/>
      <c r="AD77" s="83"/>
    </row>
    <row r="78" spans="1:30">
      <c r="B78" s="566" t="str">
        <f>+B71</f>
        <v>_____ Enterprise</v>
      </c>
      <c r="C78" s="623"/>
      <c r="D78" s="623"/>
      <c r="E78" s="623"/>
      <c r="F78" s="623"/>
      <c r="G78" s="623"/>
      <c r="H78" s="623"/>
      <c r="I78" s="623"/>
      <c r="J78" s="169"/>
      <c r="K78" s="169"/>
      <c r="L78" s="169">
        <v>0</v>
      </c>
      <c r="M78" s="169">
        <v>0</v>
      </c>
      <c r="N78" s="169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169">
        <v>0</v>
      </c>
      <c r="V78" s="169">
        <v>0</v>
      </c>
      <c r="W78" s="169">
        <v>0</v>
      </c>
      <c r="X78" s="169">
        <v>0</v>
      </c>
      <c r="Y78" s="169">
        <v>0</v>
      </c>
      <c r="Z78" s="169">
        <v>0</v>
      </c>
      <c r="AA78" s="169">
        <v>0</v>
      </c>
      <c r="AB78" s="169">
        <v>0</v>
      </c>
      <c r="AC78" s="357"/>
    </row>
    <row r="79" spans="1:30">
      <c r="B79" s="566" t="str">
        <f t="shared" ref="B79:B82" si="81">+B72</f>
        <v>_____ Enterprise</v>
      </c>
      <c r="C79" s="623"/>
      <c r="D79" s="623"/>
      <c r="E79" s="623"/>
      <c r="F79" s="623"/>
      <c r="G79" s="623"/>
      <c r="H79" s="623"/>
      <c r="I79" s="623"/>
      <c r="J79" s="169"/>
      <c r="K79" s="169"/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0</v>
      </c>
      <c r="W79" s="169">
        <v>0</v>
      </c>
      <c r="X79" s="169">
        <v>0</v>
      </c>
      <c r="Y79" s="169">
        <v>0</v>
      </c>
      <c r="Z79" s="169">
        <v>0</v>
      </c>
      <c r="AA79" s="169">
        <v>0</v>
      </c>
      <c r="AB79" s="169">
        <v>0</v>
      </c>
      <c r="AC79" s="357"/>
    </row>
    <row r="80" spans="1:30">
      <c r="B80" s="566">
        <f t="shared" si="81"/>
        <v>0</v>
      </c>
      <c r="C80" s="623"/>
      <c r="D80" s="623"/>
      <c r="E80" s="623"/>
      <c r="F80" s="623"/>
      <c r="G80" s="623"/>
      <c r="H80" s="623"/>
      <c r="I80" s="623"/>
      <c r="J80" s="169"/>
      <c r="K80" s="169"/>
      <c r="L80" s="169">
        <v>0</v>
      </c>
      <c r="M80" s="169">
        <v>0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169">
        <v>0</v>
      </c>
      <c r="V80" s="169">
        <v>0</v>
      </c>
      <c r="W80" s="169">
        <v>0</v>
      </c>
      <c r="X80" s="169">
        <v>0</v>
      </c>
      <c r="Y80" s="169">
        <v>0</v>
      </c>
      <c r="Z80" s="169">
        <v>0</v>
      </c>
      <c r="AA80" s="169">
        <v>0</v>
      </c>
      <c r="AB80" s="169">
        <v>0</v>
      </c>
      <c r="AC80" s="357"/>
    </row>
    <row r="81" spans="2:30">
      <c r="B81" s="566">
        <f t="shared" si="81"/>
        <v>0</v>
      </c>
      <c r="C81" s="623"/>
      <c r="D81" s="623"/>
      <c r="E81" s="623"/>
      <c r="F81" s="623"/>
      <c r="G81" s="623"/>
      <c r="H81" s="623"/>
      <c r="I81" s="623"/>
      <c r="J81" s="169"/>
      <c r="K81" s="169"/>
      <c r="L81" s="169">
        <v>0</v>
      </c>
      <c r="M81" s="169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169">
        <v>0</v>
      </c>
      <c r="V81" s="169">
        <v>0</v>
      </c>
      <c r="W81" s="169">
        <v>0</v>
      </c>
      <c r="X81" s="169">
        <v>0</v>
      </c>
      <c r="Y81" s="169">
        <v>0</v>
      </c>
      <c r="Z81" s="169">
        <v>0</v>
      </c>
      <c r="AA81" s="169">
        <v>0</v>
      </c>
      <c r="AB81" s="169">
        <v>0</v>
      </c>
      <c r="AC81" s="357"/>
    </row>
    <row r="82" spans="2:30">
      <c r="B82" s="566">
        <f t="shared" si="81"/>
        <v>0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>
        <v>0</v>
      </c>
      <c r="M82" s="169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169">
        <v>0</v>
      </c>
      <c r="V82" s="169">
        <v>0</v>
      </c>
      <c r="W82" s="169">
        <v>0</v>
      </c>
      <c r="X82" s="169">
        <v>0</v>
      </c>
      <c r="Y82" s="169">
        <v>0</v>
      </c>
      <c r="Z82" s="169">
        <v>0</v>
      </c>
      <c r="AA82" s="169">
        <v>0</v>
      </c>
      <c r="AB82" s="169">
        <v>0</v>
      </c>
      <c r="AC82" s="357"/>
    </row>
    <row r="83" spans="2:30">
      <c r="B83" s="841" t="s">
        <v>657</v>
      </c>
      <c r="C83" s="844">
        <f t="shared" ref="C83:K83" si="82">SUM(C78:C82)</f>
        <v>0</v>
      </c>
      <c r="D83" s="844">
        <f t="shared" si="82"/>
        <v>0</v>
      </c>
      <c r="E83" s="844">
        <f t="shared" si="82"/>
        <v>0</v>
      </c>
      <c r="F83" s="844">
        <f t="shared" si="82"/>
        <v>0</v>
      </c>
      <c r="G83" s="844">
        <f t="shared" si="82"/>
        <v>0</v>
      </c>
      <c r="H83" s="844">
        <f t="shared" si="82"/>
        <v>0</v>
      </c>
      <c r="I83" s="844">
        <f t="shared" si="82"/>
        <v>0</v>
      </c>
      <c r="J83" s="844">
        <f t="shared" si="82"/>
        <v>0</v>
      </c>
      <c r="K83" s="844">
        <f t="shared" si="82"/>
        <v>0</v>
      </c>
      <c r="L83" s="844">
        <f t="shared" ref="L83:O83" si="83">SUM(L78:L82)</f>
        <v>0</v>
      </c>
      <c r="M83" s="844">
        <f t="shared" si="83"/>
        <v>0</v>
      </c>
      <c r="N83" s="844">
        <f t="shared" si="83"/>
        <v>0</v>
      </c>
      <c r="O83" s="844">
        <f t="shared" si="83"/>
        <v>0</v>
      </c>
      <c r="P83" s="844">
        <f>ROUND(SUM(P78:P82),0)</f>
        <v>0</v>
      </c>
      <c r="Q83" s="844">
        <f t="shared" ref="Q83:U83" si="84">ROUND(SUM(Q78:Q82),0)</f>
        <v>0</v>
      </c>
      <c r="R83" s="844">
        <f t="shared" si="84"/>
        <v>0</v>
      </c>
      <c r="S83" s="844">
        <f t="shared" si="84"/>
        <v>0</v>
      </c>
      <c r="T83" s="844">
        <f t="shared" si="84"/>
        <v>0</v>
      </c>
      <c r="U83" s="844">
        <f t="shared" si="84"/>
        <v>0</v>
      </c>
      <c r="V83" s="844">
        <f t="shared" ref="V83:W83" si="85">ROUND(SUM(V78:V82),0)</f>
        <v>0</v>
      </c>
      <c r="W83" s="844">
        <f t="shared" si="85"/>
        <v>0</v>
      </c>
      <c r="X83" s="844">
        <f t="shared" ref="X83:Y83" si="86">ROUND(SUM(X78:X82),0)</f>
        <v>0</v>
      </c>
      <c r="Y83" s="844">
        <f t="shared" si="86"/>
        <v>0</v>
      </c>
      <c r="Z83" s="844">
        <f t="shared" ref="Z83:AB83" si="87">ROUND(SUM(Z78:Z82),0)</f>
        <v>0</v>
      </c>
      <c r="AA83" s="844">
        <f t="shared" si="87"/>
        <v>0</v>
      </c>
      <c r="AB83" s="844">
        <f t="shared" si="87"/>
        <v>0</v>
      </c>
      <c r="AC83" s="357"/>
    </row>
    <row r="84" spans="2:30" ht="12.75" thickBot="1">
      <c r="B84" s="847" t="s">
        <v>658</v>
      </c>
      <c r="C84" s="849">
        <f t="shared" ref="C84:K84" si="88">C76+C83</f>
        <v>0</v>
      </c>
      <c r="D84" s="849">
        <f t="shared" si="88"/>
        <v>0</v>
      </c>
      <c r="E84" s="849">
        <f t="shared" si="88"/>
        <v>0</v>
      </c>
      <c r="F84" s="849">
        <f t="shared" si="88"/>
        <v>0</v>
      </c>
      <c r="G84" s="849">
        <f t="shared" si="88"/>
        <v>0</v>
      </c>
      <c r="H84" s="849">
        <f t="shared" si="88"/>
        <v>0</v>
      </c>
      <c r="I84" s="849">
        <f t="shared" si="88"/>
        <v>0</v>
      </c>
      <c r="J84" s="849">
        <f t="shared" si="88"/>
        <v>0</v>
      </c>
      <c r="K84" s="849">
        <f t="shared" si="88"/>
        <v>0</v>
      </c>
      <c r="L84" s="849">
        <f t="shared" ref="L84:U84" si="89">L76+L83</f>
        <v>0</v>
      </c>
      <c r="M84" s="849">
        <f t="shared" si="89"/>
        <v>0</v>
      </c>
      <c r="N84" s="849">
        <f t="shared" si="89"/>
        <v>0</v>
      </c>
      <c r="O84" s="849">
        <f t="shared" si="89"/>
        <v>0</v>
      </c>
      <c r="P84" s="849">
        <f t="shared" si="89"/>
        <v>0</v>
      </c>
      <c r="Q84" s="849">
        <f t="shared" si="89"/>
        <v>0</v>
      </c>
      <c r="R84" s="849">
        <f t="shared" si="89"/>
        <v>0</v>
      </c>
      <c r="S84" s="849">
        <f t="shared" si="89"/>
        <v>0</v>
      </c>
      <c r="T84" s="849">
        <f t="shared" ref="T84" si="90">T76+T83</f>
        <v>0</v>
      </c>
      <c r="U84" s="849">
        <f t="shared" si="89"/>
        <v>0</v>
      </c>
      <c r="V84" s="849">
        <f t="shared" ref="V84:W84" si="91">V76+V83</f>
        <v>0</v>
      </c>
      <c r="W84" s="849">
        <f t="shared" si="91"/>
        <v>0</v>
      </c>
      <c r="X84" s="849">
        <f t="shared" ref="X84:Y84" si="92">X76+X83</f>
        <v>0</v>
      </c>
      <c r="Y84" s="849">
        <f t="shared" si="92"/>
        <v>0</v>
      </c>
      <c r="Z84" s="849">
        <f t="shared" ref="Z84:AB84" si="93">Z76+Z83</f>
        <v>0</v>
      </c>
      <c r="AA84" s="849">
        <f t="shared" si="93"/>
        <v>0</v>
      </c>
      <c r="AB84" s="849">
        <f t="shared" si="93"/>
        <v>0</v>
      </c>
      <c r="AC84" s="357"/>
    </row>
    <row r="85" spans="2:30" ht="12.75" thickTop="1">
      <c r="C85" s="20"/>
      <c r="D85" s="20"/>
      <c r="E85" s="20"/>
      <c r="F85" s="20"/>
      <c r="G85" s="20"/>
      <c r="H85" s="20"/>
      <c r="I85" s="20"/>
      <c r="J85" s="20"/>
      <c r="K85" s="624"/>
      <c r="L85" s="624"/>
      <c r="M85" s="624"/>
      <c r="N85" s="624"/>
      <c r="O85" s="624"/>
      <c r="P85" s="624"/>
      <c r="Q85" s="624"/>
      <c r="R85" s="624"/>
      <c r="S85" s="624"/>
      <c r="T85" s="624"/>
      <c r="U85" s="624"/>
      <c r="V85" s="624"/>
      <c r="W85" s="624"/>
      <c r="X85" s="624"/>
      <c r="Y85" s="624"/>
      <c r="Z85" s="624"/>
      <c r="AA85" s="624"/>
      <c r="AB85" s="624"/>
      <c r="AC85" s="357"/>
    </row>
    <row r="86" spans="2:30">
      <c r="B86" s="569" t="s">
        <v>659</v>
      </c>
      <c r="C86" s="20"/>
      <c r="D86" s="20"/>
      <c r="E86" s="20"/>
      <c r="F86" s="20"/>
      <c r="G86" s="20"/>
      <c r="H86" s="20"/>
      <c r="I86" s="20"/>
      <c r="J86" s="208"/>
      <c r="K86" s="208"/>
      <c r="L86" s="208"/>
      <c r="M86" s="208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357"/>
    </row>
    <row r="87" spans="2:30" ht="12.75">
      <c r="B87" s="570" t="s">
        <v>206</v>
      </c>
      <c r="C87" s="617"/>
      <c r="D87" s="617"/>
      <c r="E87" s="617"/>
      <c r="F87" s="617"/>
      <c r="G87" s="617"/>
      <c r="H87" s="617"/>
      <c r="I87" s="617"/>
      <c r="J87" s="169"/>
      <c r="K87" s="169"/>
      <c r="L87" s="169">
        <v>0</v>
      </c>
      <c r="M87" s="169">
        <v>0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169">
        <v>0</v>
      </c>
      <c r="V87" s="169">
        <v>0</v>
      </c>
      <c r="W87" s="169">
        <v>0</v>
      </c>
      <c r="X87" s="169">
        <v>0</v>
      </c>
      <c r="Y87" s="169">
        <v>0</v>
      </c>
      <c r="Z87" s="169">
        <v>0</v>
      </c>
      <c r="AA87" s="169">
        <v>0</v>
      </c>
      <c r="AB87" s="169">
        <v>0</v>
      </c>
      <c r="AC87" s="357"/>
    </row>
    <row r="88" spans="2:30" ht="12.75">
      <c r="B88" s="570"/>
      <c r="C88" s="617"/>
      <c r="D88" s="617"/>
      <c r="E88" s="617"/>
      <c r="F88" s="617"/>
      <c r="G88" s="617"/>
      <c r="H88" s="617"/>
      <c r="I88" s="617"/>
      <c r="J88" s="169"/>
      <c r="K88" s="169"/>
      <c r="L88" s="169">
        <v>0</v>
      </c>
      <c r="M88" s="169">
        <v>0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169">
        <v>0</v>
      </c>
      <c r="V88" s="169">
        <v>0</v>
      </c>
      <c r="W88" s="169">
        <v>0</v>
      </c>
      <c r="X88" s="169">
        <v>0</v>
      </c>
      <c r="Y88" s="169">
        <v>0</v>
      </c>
      <c r="Z88" s="169">
        <v>0</v>
      </c>
      <c r="AA88" s="169">
        <v>0</v>
      </c>
      <c r="AB88" s="169">
        <v>0</v>
      </c>
      <c r="AC88" s="357"/>
    </row>
    <row r="89" spans="2:30" ht="12.75">
      <c r="B89" s="570"/>
      <c r="C89" s="623"/>
      <c r="D89" s="623"/>
      <c r="E89" s="623"/>
      <c r="F89" s="623"/>
      <c r="G89" s="623"/>
      <c r="H89" s="623"/>
      <c r="I89" s="623"/>
      <c r="J89" s="169"/>
      <c r="K89" s="169"/>
      <c r="L89" s="169">
        <v>0</v>
      </c>
      <c r="M89" s="169">
        <v>0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169">
        <v>0</v>
      </c>
      <c r="V89" s="169">
        <v>0</v>
      </c>
      <c r="W89" s="169">
        <v>0</v>
      </c>
      <c r="X89" s="169">
        <v>0</v>
      </c>
      <c r="Y89" s="169">
        <v>0</v>
      </c>
      <c r="Z89" s="169">
        <v>0</v>
      </c>
      <c r="AA89" s="169">
        <v>0</v>
      </c>
      <c r="AB89" s="169">
        <v>0</v>
      </c>
      <c r="AC89" s="357"/>
    </row>
    <row r="90" spans="2:30" ht="12.75">
      <c r="B90" s="570"/>
      <c r="C90" s="623"/>
      <c r="D90" s="623"/>
      <c r="E90" s="623"/>
      <c r="F90" s="623"/>
      <c r="G90" s="623"/>
      <c r="H90" s="623"/>
      <c r="I90" s="623"/>
      <c r="J90" s="169"/>
      <c r="K90" s="169"/>
      <c r="L90" s="169">
        <v>0</v>
      </c>
      <c r="M90" s="169">
        <v>0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169">
        <v>0</v>
      </c>
      <c r="V90" s="169">
        <v>0</v>
      </c>
      <c r="W90" s="169">
        <v>0</v>
      </c>
      <c r="X90" s="169">
        <v>0</v>
      </c>
      <c r="Y90" s="169">
        <v>0</v>
      </c>
      <c r="Z90" s="169">
        <v>0</v>
      </c>
      <c r="AA90" s="169">
        <v>0</v>
      </c>
      <c r="AB90" s="169">
        <v>0</v>
      </c>
      <c r="AC90" s="357"/>
    </row>
    <row r="91" spans="2:30">
      <c r="B91" s="566"/>
      <c r="C91" s="169"/>
      <c r="D91" s="169"/>
      <c r="E91" s="169"/>
      <c r="F91" s="169"/>
      <c r="G91" s="169"/>
      <c r="H91" s="169"/>
      <c r="I91" s="169"/>
      <c r="J91" s="169"/>
      <c r="K91" s="169"/>
      <c r="L91" s="169">
        <v>0</v>
      </c>
      <c r="M91" s="169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169">
        <v>0</v>
      </c>
      <c r="V91" s="169">
        <v>0</v>
      </c>
      <c r="W91" s="169">
        <v>0</v>
      </c>
      <c r="X91" s="169">
        <v>0</v>
      </c>
      <c r="Y91" s="169">
        <v>0</v>
      </c>
      <c r="Z91" s="169">
        <v>0</v>
      </c>
      <c r="AA91" s="169">
        <v>0</v>
      </c>
      <c r="AB91" s="169">
        <v>0</v>
      </c>
      <c r="AC91" s="357"/>
    </row>
    <row r="92" spans="2:30">
      <c r="B92" s="841" t="s">
        <v>660</v>
      </c>
      <c r="C92" s="844">
        <f t="shared" ref="C92:K92" si="94">SUM(C87:C91)</f>
        <v>0</v>
      </c>
      <c r="D92" s="844">
        <f t="shared" si="94"/>
        <v>0</v>
      </c>
      <c r="E92" s="844">
        <f t="shared" si="94"/>
        <v>0</v>
      </c>
      <c r="F92" s="844">
        <f t="shared" si="94"/>
        <v>0</v>
      </c>
      <c r="G92" s="844">
        <f t="shared" si="94"/>
        <v>0</v>
      </c>
      <c r="H92" s="844">
        <f t="shared" si="94"/>
        <v>0</v>
      </c>
      <c r="I92" s="844">
        <f t="shared" si="94"/>
        <v>0</v>
      </c>
      <c r="J92" s="844">
        <f t="shared" si="94"/>
        <v>0</v>
      </c>
      <c r="K92" s="844">
        <f t="shared" si="94"/>
        <v>0</v>
      </c>
      <c r="L92" s="844">
        <f t="shared" ref="L92:O92" si="95">SUM(L87:L91)</f>
        <v>0</v>
      </c>
      <c r="M92" s="844">
        <f t="shared" si="95"/>
        <v>0</v>
      </c>
      <c r="N92" s="844">
        <f t="shared" si="95"/>
        <v>0</v>
      </c>
      <c r="O92" s="844">
        <f t="shared" si="95"/>
        <v>0</v>
      </c>
      <c r="P92" s="844">
        <f>ROUND(SUM(P87:P91),0)</f>
        <v>0</v>
      </c>
      <c r="Q92" s="844">
        <f t="shared" ref="Q92:V92" si="96">ROUND(SUM(Q87:Q91),0)</f>
        <v>0</v>
      </c>
      <c r="R92" s="844">
        <f t="shared" si="96"/>
        <v>0</v>
      </c>
      <c r="S92" s="844">
        <f t="shared" si="96"/>
        <v>0</v>
      </c>
      <c r="T92" s="844">
        <f t="shared" si="96"/>
        <v>0</v>
      </c>
      <c r="U92" s="844">
        <f t="shared" si="96"/>
        <v>0</v>
      </c>
      <c r="V92" s="844">
        <f t="shared" si="96"/>
        <v>0</v>
      </c>
      <c r="W92" s="844">
        <f t="shared" ref="W92:X92" si="97">ROUND(SUM(W87:W91),0)</f>
        <v>0</v>
      </c>
      <c r="X92" s="844">
        <f t="shared" si="97"/>
        <v>0</v>
      </c>
      <c r="Y92" s="844">
        <f t="shared" ref="Y92:Z92" si="98">ROUND(SUM(Y87:Y91),0)</f>
        <v>0</v>
      </c>
      <c r="Z92" s="844">
        <f t="shared" si="98"/>
        <v>0</v>
      </c>
      <c r="AA92" s="844">
        <f t="shared" ref="AA92:AB92" si="99">ROUND(SUM(AA87:AA91),0)</f>
        <v>0</v>
      </c>
      <c r="AB92" s="844">
        <f t="shared" si="99"/>
        <v>0</v>
      </c>
      <c r="AC92" s="357"/>
    </row>
    <row r="93" spans="2:30">
      <c r="C93" s="20"/>
      <c r="D93" s="20"/>
      <c r="E93" s="20"/>
      <c r="F93" s="20"/>
      <c r="G93" s="20"/>
      <c r="H93" s="20"/>
      <c r="I93" s="20"/>
      <c r="J93" s="208"/>
      <c r="K93" s="208"/>
      <c r="L93" s="208"/>
      <c r="M93" s="208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907"/>
      <c r="AD93" s="83"/>
    </row>
    <row r="94" spans="2:30">
      <c r="B94" s="566" t="str">
        <f>+B87</f>
        <v xml:space="preserve"> </v>
      </c>
      <c r="C94" s="623"/>
      <c r="D94" s="623"/>
      <c r="E94" s="623"/>
      <c r="F94" s="623"/>
      <c r="G94" s="623"/>
      <c r="H94" s="623"/>
      <c r="I94" s="623"/>
      <c r="J94" s="169"/>
      <c r="K94" s="169"/>
      <c r="L94" s="169">
        <v>0</v>
      </c>
      <c r="M94" s="169">
        <v>0</v>
      </c>
      <c r="N94" s="169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169">
        <v>0</v>
      </c>
      <c r="V94" s="169">
        <v>0</v>
      </c>
      <c r="W94" s="169">
        <v>0</v>
      </c>
      <c r="X94" s="169">
        <v>0</v>
      </c>
      <c r="Y94" s="169">
        <v>0</v>
      </c>
      <c r="Z94" s="169">
        <v>0</v>
      </c>
      <c r="AA94" s="169">
        <v>0</v>
      </c>
      <c r="AB94" s="169">
        <v>0</v>
      </c>
      <c r="AC94" s="357"/>
    </row>
    <row r="95" spans="2:30">
      <c r="B95" s="566">
        <f>+B88</f>
        <v>0</v>
      </c>
      <c r="C95" s="623"/>
      <c r="D95" s="623"/>
      <c r="E95" s="623"/>
      <c r="F95" s="623"/>
      <c r="G95" s="623"/>
      <c r="H95" s="623"/>
      <c r="I95" s="623"/>
      <c r="J95" s="169"/>
      <c r="K95" s="169"/>
      <c r="L95" s="169">
        <v>0</v>
      </c>
      <c r="M95" s="169">
        <v>0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169">
        <v>0</v>
      </c>
      <c r="V95" s="169">
        <v>0</v>
      </c>
      <c r="W95" s="169">
        <v>0</v>
      </c>
      <c r="X95" s="169">
        <v>0</v>
      </c>
      <c r="Y95" s="169">
        <v>0</v>
      </c>
      <c r="Z95" s="169">
        <v>0</v>
      </c>
      <c r="AA95" s="169">
        <v>0</v>
      </c>
      <c r="AB95" s="169">
        <v>0</v>
      </c>
      <c r="AC95" s="357"/>
    </row>
    <row r="96" spans="2:30">
      <c r="B96" s="566">
        <f>+B89</f>
        <v>0</v>
      </c>
      <c r="C96" s="623"/>
      <c r="D96" s="623"/>
      <c r="E96" s="623"/>
      <c r="F96" s="623"/>
      <c r="G96" s="623"/>
      <c r="H96" s="623"/>
      <c r="I96" s="623"/>
      <c r="J96" s="169"/>
      <c r="K96" s="169"/>
      <c r="L96" s="169">
        <v>0</v>
      </c>
      <c r="M96" s="169">
        <v>0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169">
        <v>0</v>
      </c>
      <c r="V96" s="169">
        <v>0</v>
      </c>
      <c r="W96" s="169">
        <v>0</v>
      </c>
      <c r="X96" s="169">
        <v>0</v>
      </c>
      <c r="Y96" s="169">
        <v>0</v>
      </c>
      <c r="Z96" s="169">
        <v>0</v>
      </c>
      <c r="AA96" s="169">
        <v>0</v>
      </c>
      <c r="AB96" s="169">
        <v>0</v>
      </c>
      <c r="AC96" s="357"/>
    </row>
    <row r="97" spans="1:35">
      <c r="B97" s="566">
        <f>+B90</f>
        <v>0</v>
      </c>
      <c r="C97" s="623"/>
      <c r="D97" s="623"/>
      <c r="E97" s="623"/>
      <c r="F97" s="623"/>
      <c r="G97" s="623"/>
      <c r="H97" s="623"/>
      <c r="I97" s="623"/>
      <c r="J97" s="169"/>
      <c r="K97" s="169"/>
      <c r="L97" s="169">
        <v>0</v>
      </c>
      <c r="M97" s="169">
        <v>0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169">
        <v>0</v>
      </c>
      <c r="V97" s="169">
        <v>0</v>
      </c>
      <c r="W97" s="169">
        <v>0</v>
      </c>
      <c r="X97" s="169">
        <v>0</v>
      </c>
      <c r="Y97" s="169">
        <v>0</v>
      </c>
      <c r="Z97" s="169">
        <v>0</v>
      </c>
      <c r="AA97" s="169">
        <v>0</v>
      </c>
      <c r="AB97" s="169">
        <v>0</v>
      </c>
      <c r="AC97" s="357"/>
    </row>
    <row r="98" spans="1:35">
      <c r="B98" s="566">
        <f>+B91</f>
        <v>0</v>
      </c>
      <c r="C98" s="169"/>
      <c r="D98" s="169"/>
      <c r="E98" s="169"/>
      <c r="F98" s="169"/>
      <c r="G98" s="169"/>
      <c r="H98" s="169"/>
      <c r="I98" s="169"/>
      <c r="J98" s="169"/>
      <c r="K98" s="169"/>
      <c r="L98" s="169">
        <v>0</v>
      </c>
      <c r="M98" s="169">
        <v>0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169">
        <v>0</v>
      </c>
      <c r="V98" s="169">
        <v>0</v>
      </c>
      <c r="W98" s="169">
        <v>0</v>
      </c>
      <c r="X98" s="169">
        <v>0</v>
      </c>
      <c r="Y98" s="169">
        <v>0</v>
      </c>
      <c r="Z98" s="169">
        <v>0</v>
      </c>
      <c r="AA98" s="169">
        <v>0</v>
      </c>
      <c r="AB98" s="169">
        <v>0</v>
      </c>
      <c r="AC98" s="357"/>
    </row>
    <row r="99" spans="1:35">
      <c r="B99" s="841" t="s">
        <v>661</v>
      </c>
      <c r="C99" s="844">
        <f t="shared" ref="C99:K99" si="100">SUM(C94:C98)</f>
        <v>0</v>
      </c>
      <c r="D99" s="844">
        <f t="shared" si="100"/>
        <v>0</v>
      </c>
      <c r="E99" s="844">
        <f t="shared" si="100"/>
        <v>0</v>
      </c>
      <c r="F99" s="844">
        <f t="shared" si="100"/>
        <v>0</v>
      </c>
      <c r="G99" s="844">
        <f t="shared" si="100"/>
        <v>0</v>
      </c>
      <c r="H99" s="844">
        <f t="shared" si="100"/>
        <v>0</v>
      </c>
      <c r="I99" s="844">
        <f t="shared" si="100"/>
        <v>0</v>
      </c>
      <c r="J99" s="844">
        <f t="shared" si="100"/>
        <v>0</v>
      </c>
      <c r="K99" s="844">
        <f t="shared" si="100"/>
        <v>0</v>
      </c>
      <c r="L99" s="844">
        <f t="shared" ref="L99:O99" si="101">SUM(L94:L98)</f>
        <v>0</v>
      </c>
      <c r="M99" s="844">
        <f t="shared" si="101"/>
        <v>0</v>
      </c>
      <c r="N99" s="844">
        <f t="shared" si="101"/>
        <v>0</v>
      </c>
      <c r="O99" s="844">
        <f t="shared" si="101"/>
        <v>0</v>
      </c>
      <c r="P99" s="844">
        <f>ROUND(SUM(P94:P98),0)</f>
        <v>0</v>
      </c>
      <c r="Q99" s="844">
        <f t="shared" ref="Q99:V99" si="102">ROUND(SUM(Q94:Q98),0)</f>
        <v>0</v>
      </c>
      <c r="R99" s="844">
        <f t="shared" si="102"/>
        <v>0</v>
      </c>
      <c r="S99" s="844">
        <f t="shared" si="102"/>
        <v>0</v>
      </c>
      <c r="T99" s="844">
        <f t="shared" si="102"/>
        <v>0</v>
      </c>
      <c r="U99" s="844">
        <f t="shared" si="102"/>
        <v>0</v>
      </c>
      <c r="V99" s="844">
        <f t="shared" si="102"/>
        <v>0</v>
      </c>
      <c r="W99" s="844">
        <f t="shared" ref="W99:X99" si="103">ROUND(SUM(W94:W98),0)</f>
        <v>0</v>
      </c>
      <c r="X99" s="844">
        <f t="shared" si="103"/>
        <v>0</v>
      </c>
      <c r="Y99" s="844">
        <f t="shared" ref="Y99:Z99" si="104">ROUND(SUM(Y94:Y98),0)</f>
        <v>0</v>
      </c>
      <c r="Z99" s="844">
        <f t="shared" si="104"/>
        <v>0</v>
      </c>
      <c r="AA99" s="844">
        <f t="shared" ref="AA99:AB99" si="105">ROUND(SUM(AA94:AA98),0)</f>
        <v>0</v>
      </c>
      <c r="AB99" s="844">
        <f t="shared" si="105"/>
        <v>0</v>
      </c>
      <c r="AC99" s="357"/>
    </row>
    <row r="100" spans="1:35" ht="12.75" thickBot="1">
      <c r="B100" s="847" t="s">
        <v>662</v>
      </c>
      <c r="C100" s="849">
        <f t="shared" ref="C100:K100" si="106">C92+C99</f>
        <v>0</v>
      </c>
      <c r="D100" s="849">
        <f t="shared" si="106"/>
        <v>0</v>
      </c>
      <c r="E100" s="849">
        <f t="shared" si="106"/>
        <v>0</v>
      </c>
      <c r="F100" s="849">
        <f t="shared" si="106"/>
        <v>0</v>
      </c>
      <c r="G100" s="849">
        <f t="shared" si="106"/>
        <v>0</v>
      </c>
      <c r="H100" s="849">
        <f t="shared" si="106"/>
        <v>0</v>
      </c>
      <c r="I100" s="849">
        <f t="shared" si="106"/>
        <v>0</v>
      </c>
      <c r="J100" s="849">
        <f t="shared" si="106"/>
        <v>0</v>
      </c>
      <c r="K100" s="849">
        <f t="shared" si="106"/>
        <v>0</v>
      </c>
      <c r="L100" s="849">
        <f t="shared" ref="L100:V100" si="107">L92+L99</f>
        <v>0</v>
      </c>
      <c r="M100" s="849">
        <f t="shared" si="107"/>
        <v>0</v>
      </c>
      <c r="N100" s="849">
        <f t="shared" si="107"/>
        <v>0</v>
      </c>
      <c r="O100" s="849">
        <f t="shared" si="107"/>
        <v>0</v>
      </c>
      <c r="P100" s="849">
        <f t="shared" si="107"/>
        <v>0</v>
      </c>
      <c r="Q100" s="849">
        <f t="shared" si="107"/>
        <v>0</v>
      </c>
      <c r="R100" s="849">
        <f t="shared" si="107"/>
        <v>0</v>
      </c>
      <c r="S100" s="849">
        <f t="shared" si="107"/>
        <v>0</v>
      </c>
      <c r="T100" s="849">
        <f t="shared" si="107"/>
        <v>0</v>
      </c>
      <c r="U100" s="849">
        <f t="shared" si="107"/>
        <v>0</v>
      </c>
      <c r="V100" s="849">
        <f t="shared" si="107"/>
        <v>0</v>
      </c>
      <c r="W100" s="849">
        <f t="shared" ref="W100:X100" si="108">W92+W99</f>
        <v>0</v>
      </c>
      <c r="X100" s="849">
        <f t="shared" si="108"/>
        <v>0</v>
      </c>
      <c r="Y100" s="849">
        <f t="shared" ref="Y100:Z100" si="109">Y92+Y99</f>
        <v>0</v>
      </c>
      <c r="Z100" s="849">
        <f t="shared" si="109"/>
        <v>0</v>
      </c>
      <c r="AA100" s="849">
        <f t="shared" ref="AA100:AB100" si="110">AA92+AA99</f>
        <v>0</v>
      </c>
      <c r="AB100" s="849">
        <f t="shared" si="110"/>
        <v>0</v>
      </c>
      <c r="AC100" s="357"/>
    </row>
    <row r="101" spans="1:35" ht="12.75" thickTop="1">
      <c r="C101" s="20"/>
      <c r="D101" s="20"/>
      <c r="E101" s="20"/>
      <c r="F101" s="20"/>
      <c r="G101" s="20"/>
      <c r="H101" s="20"/>
      <c r="I101" s="20"/>
      <c r="J101" s="20"/>
      <c r="K101" s="624"/>
      <c r="L101" s="624"/>
      <c r="M101" s="624"/>
      <c r="N101" s="624"/>
      <c r="O101" s="624"/>
      <c r="P101" s="624"/>
      <c r="Q101" s="624"/>
      <c r="R101" s="624"/>
      <c r="S101" s="624"/>
      <c r="T101" s="624"/>
      <c r="U101" s="624"/>
      <c r="V101" s="624"/>
      <c r="W101" s="624"/>
      <c r="X101" s="624"/>
      <c r="Y101" s="624"/>
      <c r="Z101" s="624"/>
      <c r="AA101" s="624"/>
      <c r="AB101" s="624"/>
      <c r="AC101" s="357"/>
    </row>
    <row r="102" spans="1:35" s="200" customFormat="1">
      <c r="A102" s="207"/>
      <c r="B102" s="571" t="s">
        <v>663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908"/>
      <c r="AD102" s="1"/>
      <c r="AE102" s="1"/>
      <c r="AF102" s="1"/>
      <c r="AG102" s="1"/>
      <c r="AH102" s="1"/>
      <c r="AI102" s="1"/>
    </row>
    <row r="103" spans="1:35" s="200" customFormat="1">
      <c r="A103" s="200" t="s">
        <v>142</v>
      </c>
      <c r="B103" s="572" t="s">
        <v>664</v>
      </c>
      <c r="C103" s="204">
        <v>0</v>
      </c>
      <c r="D103" s="204">
        <v>0</v>
      </c>
      <c r="E103" s="204">
        <v>0</v>
      </c>
      <c r="F103" s="204">
        <v>0</v>
      </c>
      <c r="G103" s="204">
        <v>0</v>
      </c>
      <c r="H103" s="204"/>
      <c r="I103" s="204"/>
      <c r="J103" s="204"/>
      <c r="K103" s="168"/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169"/>
      <c r="V103" s="169">
        <v>0</v>
      </c>
      <c r="W103" s="169">
        <v>0</v>
      </c>
      <c r="X103" s="169">
        <v>0</v>
      </c>
      <c r="Y103" s="169">
        <v>0</v>
      </c>
      <c r="Z103" s="169">
        <v>0</v>
      </c>
      <c r="AA103" s="169">
        <v>0</v>
      </c>
      <c r="AB103" s="169">
        <v>0</v>
      </c>
      <c r="AC103" s="1" t="s">
        <v>665</v>
      </c>
      <c r="AD103" s="1"/>
      <c r="AE103" s="1"/>
      <c r="AF103" s="1"/>
      <c r="AG103" s="1"/>
      <c r="AH103" s="1"/>
      <c r="AI103" s="1"/>
    </row>
    <row r="104" spans="1:35" s="200" customFormat="1">
      <c r="B104" s="572" t="s">
        <v>666</v>
      </c>
      <c r="C104" s="204"/>
      <c r="D104" s="204"/>
      <c r="E104" s="204"/>
      <c r="F104" s="204"/>
      <c r="G104" s="204"/>
      <c r="H104" s="204"/>
      <c r="I104" s="204"/>
      <c r="J104" s="204"/>
      <c r="K104" s="168"/>
      <c r="L104" s="169">
        <v>0</v>
      </c>
      <c r="M104" s="169">
        <v>0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169">
        <v>0</v>
      </c>
      <c r="V104" s="169">
        <v>0</v>
      </c>
      <c r="W104" s="169">
        <v>0</v>
      </c>
      <c r="X104" s="169">
        <v>0</v>
      </c>
      <c r="Y104" s="169">
        <v>0</v>
      </c>
      <c r="Z104" s="169">
        <v>0</v>
      </c>
      <c r="AA104" s="169">
        <v>0</v>
      </c>
      <c r="AB104" s="169">
        <v>0</v>
      </c>
      <c r="AC104" s="1"/>
      <c r="AD104" s="1"/>
      <c r="AE104" s="1"/>
      <c r="AF104" s="1"/>
      <c r="AG104" s="1"/>
      <c r="AH104" s="1"/>
      <c r="AI104" s="1"/>
    </row>
    <row r="105" spans="1:35" s="200" customFormat="1">
      <c r="B105" s="572" t="s">
        <v>667</v>
      </c>
      <c r="C105" s="204">
        <v>0</v>
      </c>
      <c r="D105" s="204">
        <v>0</v>
      </c>
      <c r="E105" s="204">
        <v>0</v>
      </c>
      <c r="F105" s="204">
        <v>0</v>
      </c>
      <c r="G105" s="204"/>
      <c r="H105" s="204"/>
      <c r="I105" s="204"/>
      <c r="J105" s="204"/>
      <c r="K105" s="168"/>
      <c r="L105" s="169">
        <v>0</v>
      </c>
      <c r="M105" s="169">
        <v>0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169">
        <v>0</v>
      </c>
      <c r="V105" s="169">
        <v>0</v>
      </c>
      <c r="W105" s="169">
        <v>0</v>
      </c>
      <c r="X105" s="169">
        <v>0</v>
      </c>
      <c r="Y105" s="169">
        <v>0</v>
      </c>
      <c r="Z105" s="169">
        <v>0</v>
      </c>
      <c r="AA105" s="169">
        <v>0</v>
      </c>
      <c r="AB105" s="169">
        <v>0</v>
      </c>
      <c r="AC105" s="1"/>
      <c r="AD105" s="1"/>
      <c r="AE105" s="1"/>
      <c r="AF105" s="1"/>
      <c r="AG105" s="1"/>
      <c r="AH105" s="1"/>
      <c r="AI105" s="1"/>
    </row>
    <row r="106" spans="1:35" s="200" customFormat="1">
      <c r="B106" s="845" t="s">
        <v>668</v>
      </c>
      <c r="C106" s="846">
        <f t="shared" ref="C106:O106" si="111">SUM(C103:C105)</f>
        <v>0</v>
      </c>
      <c r="D106" s="846">
        <f t="shared" si="111"/>
        <v>0</v>
      </c>
      <c r="E106" s="846">
        <f t="shared" si="111"/>
        <v>0</v>
      </c>
      <c r="F106" s="846">
        <f t="shared" si="111"/>
        <v>0</v>
      </c>
      <c r="G106" s="846">
        <f t="shared" si="111"/>
        <v>0</v>
      </c>
      <c r="H106" s="846">
        <f t="shared" si="111"/>
        <v>0</v>
      </c>
      <c r="I106" s="846">
        <f t="shared" si="111"/>
        <v>0</v>
      </c>
      <c r="J106" s="846">
        <f t="shared" si="111"/>
        <v>0</v>
      </c>
      <c r="K106" s="846">
        <f t="shared" si="111"/>
        <v>0</v>
      </c>
      <c r="L106" s="846">
        <f t="shared" si="111"/>
        <v>0</v>
      </c>
      <c r="M106" s="846">
        <f t="shared" si="111"/>
        <v>0</v>
      </c>
      <c r="N106" s="846">
        <f t="shared" si="111"/>
        <v>0</v>
      </c>
      <c r="O106" s="846">
        <f t="shared" si="111"/>
        <v>0</v>
      </c>
      <c r="P106" s="846">
        <f>ROUND(SUM(P103:P105),0)</f>
        <v>0</v>
      </c>
      <c r="Q106" s="846">
        <f t="shared" ref="Q106:V106" si="112">ROUND(SUM(Q103:Q105),0)</f>
        <v>0</v>
      </c>
      <c r="R106" s="846">
        <f t="shared" si="112"/>
        <v>0</v>
      </c>
      <c r="S106" s="846">
        <f t="shared" si="112"/>
        <v>0</v>
      </c>
      <c r="T106" s="846">
        <f t="shared" si="112"/>
        <v>0</v>
      </c>
      <c r="U106" s="846">
        <f t="shared" si="112"/>
        <v>0</v>
      </c>
      <c r="V106" s="846">
        <f t="shared" si="112"/>
        <v>0</v>
      </c>
      <c r="W106" s="846">
        <f t="shared" ref="W106:X106" si="113">ROUND(SUM(W103:W105),0)</f>
        <v>0</v>
      </c>
      <c r="X106" s="846">
        <f t="shared" si="113"/>
        <v>0</v>
      </c>
      <c r="Y106" s="846">
        <f t="shared" ref="Y106:Z106" si="114">ROUND(SUM(Y103:Y105),0)</f>
        <v>0</v>
      </c>
      <c r="Z106" s="846">
        <f t="shared" si="114"/>
        <v>0</v>
      </c>
      <c r="AA106" s="846">
        <f t="shared" ref="AA106:AB106" si="115">ROUND(SUM(AA103:AA105),0)</f>
        <v>0</v>
      </c>
      <c r="AB106" s="846">
        <f t="shared" si="115"/>
        <v>0</v>
      </c>
      <c r="AC106" s="1"/>
      <c r="AD106" s="1"/>
      <c r="AE106" s="1"/>
      <c r="AF106" s="1"/>
      <c r="AG106" s="1"/>
      <c r="AH106" s="1"/>
      <c r="AI106" s="1"/>
    </row>
    <row r="107" spans="1:35" s="200" customFormat="1">
      <c r="B107" s="573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1"/>
      <c r="AD107" s="1"/>
      <c r="AE107" s="1"/>
      <c r="AF107" s="1"/>
      <c r="AG107" s="1"/>
      <c r="AH107" s="1"/>
      <c r="AI107" s="1"/>
    </row>
    <row r="108" spans="1:35" s="200" customFormat="1">
      <c r="A108" s="207"/>
      <c r="B108" s="571" t="s">
        <v>669</v>
      </c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1"/>
      <c r="AD108" s="1"/>
      <c r="AE108" s="1"/>
      <c r="AF108" s="1"/>
      <c r="AG108" s="1"/>
      <c r="AH108" s="1"/>
      <c r="AI108" s="1"/>
    </row>
    <row r="109" spans="1:35" s="200" customFormat="1">
      <c r="A109" s="200" t="s">
        <v>142</v>
      </c>
      <c r="B109" s="572" t="s">
        <v>664</v>
      </c>
      <c r="C109" s="204">
        <v>0</v>
      </c>
      <c r="D109" s="204">
        <v>0</v>
      </c>
      <c r="E109" s="204">
        <v>0</v>
      </c>
      <c r="F109" s="204">
        <v>0</v>
      </c>
      <c r="G109" s="204">
        <v>0</v>
      </c>
      <c r="H109" s="204"/>
      <c r="I109" s="204"/>
      <c r="J109" s="204"/>
      <c r="K109" s="168"/>
      <c r="L109" s="169">
        <v>0</v>
      </c>
      <c r="M109" s="169">
        <v>0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169">
        <v>558412</v>
      </c>
      <c r="V109" s="169">
        <v>524288</v>
      </c>
      <c r="W109" s="169">
        <v>554112</v>
      </c>
      <c r="X109" s="169">
        <f>400953+162632</f>
        <v>563585</v>
      </c>
      <c r="Y109" s="169">
        <f t="shared" ref="Y109:AB109" si="116">400953+162632</f>
        <v>563585</v>
      </c>
      <c r="Z109" s="169">
        <f t="shared" si="116"/>
        <v>563585</v>
      </c>
      <c r="AA109" s="169">
        <f t="shared" si="116"/>
        <v>563585</v>
      </c>
      <c r="AB109" s="169">
        <f t="shared" si="116"/>
        <v>563585</v>
      </c>
      <c r="AC109" s="1"/>
      <c r="AD109" s="1"/>
      <c r="AE109" s="1"/>
      <c r="AF109" s="1"/>
      <c r="AG109" s="1"/>
      <c r="AH109" s="1"/>
      <c r="AI109" s="1"/>
    </row>
    <row r="110" spans="1:35" s="200" customFormat="1">
      <c r="B110" s="572" t="s">
        <v>666</v>
      </c>
      <c r="C110" s="204"/>
      <c r="D110" s="204"/>
      <c r="E110" s="204"/>
      <c r="F110" s="204"/>
      <c r="G110" s="204"/>
      <c r="H110" s="204"/>
      <c r="I110" s="204"/>
      <c r="J110" s="204"/>
      <c r="K110" s="168"/>
      <c r="L110" s="169">
        <v>0</v>
      </c>
      <c r="M110" s="169">
        <v>0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169">
        <v>0</v>
      </c>
      <c r="V110" s="169">
        <v>0</v>
      </c>
      <c r="W110" s="169">
        <v>0</v>
      </c>
      <c r="X110" s="169">
        <v>0</v>
      </c>
      <c r="Y110" s="169">
        <v>0</v>
      </c>
      <c r="Z110" s="169">
        <v>0</v>
      </c>
      <c r="AA110" s="169">
        <v>0</v>
      </c>
      <c r="AB110" s="169">
        <v>0</v>
      </c>
      <c r="AC110" s="1"/>
      <c r="AD110" s="1"/>
      <c r="AE110" s="1"/>
      <c r="AF110" s="1"/>
      <c r="AG110" s="1"/>
      <c r="AH110" s="1"/>
      <c r="AI110" s="1"/>
    </row>
    <row r="111" spans="1:35" s="200" customFormat="1">
      <c r="B111" s="572" t="s">
        <v>670</v>
      </c>
      <c r="C111" s="204">
        <v>0</v>
      </c>
      <c r="D111" s="204">
        <v>0</v>
      </c>
      <c r="E111" s="204">
        <v>0</v>
      </c>
      <c r="F111" s="204">
        <v>0</v>
      </c>
      <c r="G111" s="204"/>
      <c r="H111" s="204"/>
      <c r="I111" s="204"/>
      <c r="J111" s="204"/>
      <c r="K111" s="168"/>
      <c r="L111" s="169">
        <v>0</v>
      </c>
      <c r="M111" s="169">
        <v>0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169"/>
      <c r="V111" s="169">
        <v>239782</v>
      </c>
      <c r="W111" s="169">
        <v>562071</v>
      </c>
      <c r="X111" s="169">
        <f>163850+429881</f>
        <v>593731</v>
      </c>
      <c r="Y111" s="169">
        <v>706829.82500000007</v>
      </c>
      <c r="Z111" s="169">
        <v>734571.03625</v>
      </c>
      <c r="AA111" s="169">
        <v>734400.71125000005</v>
      </c>
      <c r="AB111" s="169">
        <v>734381.78625</v>
      </c>
      <c r="AC111" s="1"/>
      <c r="AD111" s="1"/>
      <c r="AE111" s="1"/>
      <c r="AF111" s="1"/>
      <c r="AG111" s="1"/>
      <c r="AH111" s="1"/>
      <c r="AI111" s="1"/>
    </row>
    <row r="112" spans="1:35" s="200" customFormat="1">
      <c r="B112" s="845" t="s">
        <v>671</v>
      </c>
      <c r="C112" s="846">
        <f t="shared" ref="C112:O112" si="117">SUM(C109:C111)</f>
        <v>0</v>
      </c>
      <c r="D112" s="846">
        <f t="shared" si="117"/>
        <v>0</v>
      </c>
      <c r="E112" s="846">
        <f t="shared" si="117"/>
        <v>0</v>
      </c>
      <c r="F112" s="846">
        <f t="shared" si="117"/>
        <v>0</v>
      </c>
      <c r="G112" s="846">
        <f t="shared" si="117"/>
        <v>0</v>
      </c>
      <c r="H112" s="846">
        <f t="shared" si="117"/>
        <v>0</v>
      </c>
      <c r="I112" s="846">
        <f t="shared" si="117"/>
        <v>0</v>
      </c>
      <c r="J112" s="846">
        <f t="shared" si="117"/>
        <v>0</v>
      </c>
      <c r="K112" s="846">
        <f t="shared" si="117"/>
        <v>0</v>
      </c>
      <c r="L112" s="846">
        <f t="shared" si="117"/>
        <v>0</v>
      </c>
      <c r="M112" s="846">
        <f t="shared" si="117"/>
        <v>0</v>
      </c>
      <c r="N112" s="846">
        <f t="shared" si="117"/>
        <v>0</v>
      </c>
      <c r="O112" s="846">
        <f t="shared" si="117"/>
        <v>0</v>
      </c>
      <c r="P112" s="846">
        <f>ROUND(SUM(P109:P111),0)</f>
        <v>0</v>
      </c>
      <c r="Q112" s="846">
        <f t="shared" ref="Q112:U112" si="118">ROUND(SUM(Q109:Q111),0)</f>
        <v>0</v>
      </c>
      <c r="R112" s="846">
        <f t="shared" si="118"/>
        <v>0</v>
      </c>
      <c r="S112" s="846">
        <f t="shared" si="118"/>
        <v>0</v>
      </c>
      <c r="T112" s="846">
        <f t="shared" si="118"/>
        <v>0</v>
      </c>
      <c r="U112" s="846">
        <f t="shared" si="118"/>
        <v>558412</v>
      </c>
      <c r="V112" s="846">
        <f t="shared" ref="V112:W112" si="119">ROUND(SUM(V109:V111),0)</f>
        <v>764070</v>
      </c>
      <c r="W112" s="846">
        <f t="shared" si="119"/>
        <v>1116183</v>
      </c>
      <c r="X112" s="169">
        <f t="shared" ref="X112:Y112" si="120">ROUND(SUM(X109:X111),0)</f>
        <v>1157316</v>
      </c>
      <c r="Y112" s="169">
        <f t="shared" si="120"/>
        <v>1270415</v>
      </c>
      <c r="Z112" s="169">
        <f t="shared" ref="Z112:AB112" si="121">ROUND(SUM(Z109:Z111),0)</f>
        <v>1298156</v>
      </c>
      <c r="AA112" s="169">
        <f t="shared" si="121"/>
        <v>1297986</v>
      </c>
      <c r="AB112" s="169">
        <f t="shared" si="121"/>
        <v>1297967</v>
      </c>
      <c r="AC112" s="1"/>
      <c r="AD112" s="1"/>
      <c r="AE112" s="1"/>
      <c r="AF112" s="1"/>
      <c r="AG112" s="1"/>
      <c r="AH112" s="1"/>
      <c r="AI112" s="1"/>
    </row>
    <row r="113" spans="1:35" s="200" customFormat="1">
      <c r="B113" s="573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>
        <f>X111*0.66</f>
        <v>391862.46</v>
      </c>
      <c r="AB113" s="310"/>
      <c r="AC113" s="1"/>
      <c r="AD113" s="1"/>
      <c r="AE113" s="1"/>
      <c r="AF113" s="1"/>
      <c r="AG113" s="1"/>
      <c r="AH113" s="1"/>
      <c r="AI113" s="1"/>
    </row>
    <row r="114" spans="1:35">
      <c r="B114" s="569" t="s">
        <v>634</v>
      </c>
      <c r="C114" s="20"/>
      <c r="D114" s="20"/>
      <c r="E114" s="20"/>
      <c r="F114" s="20"/>
      <c r="G114" s="20"/>
      <c r="H114" s="20"/>
      <c r="I114" s="20"/>
      <c r="J114" s="208"/>
      <c r="K114" s="208"/>
      <c r="L114" s="208"/>
      <c r="M114" s="208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</row>
    <row r="115" spans="1:35" ht="12.75">
      <c r="A115" s="207" t="s">
        <v>206</v>
      </c>
      <c r="B115" s="570">
        <v>0</v>
      </c>
      <c r="C115" s="623"/>
      <c r="D115" s="623"/>
      <c r="E115" s="623"/>
      <c r="F115" s="623"/>
      <c r="G115" s="623"/>
      <c r="H115" s="623"/>
      <c r="I115" s="623"/>
      <c r="J115" s="169"/>
      <c r="K115" s="169"/>
      <c r="L115" s="169">
        <v>0</v>
      </c>
      <c r="M115" s="169">
        <v>0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169">
        <v>0</v>
      </c>
      <c r="V115" s="169">
        <v>0</v>
      </c>
      <c r="W115" s="169">
        <v>0</v>
      </c>
      <c r="X115" s="169">
        <v>0</v>
      </c>
      <c r="Y115" s="169">
        <v>0</v>
      </c>
      <c r="Z115" s="169">
        <v>0</v>
      </c>
      <c r="AA115" s="169">
        <v>0</v>
      </c>
      <c r="AB115" s="169">
        <v>0</v>
      </c>
    </row>
    <row r="116" spans="1:35" ht="12.75">
      <c r="B116" s="570">
        <v>0</v>
      </c>
      <c r="C116" s="623"/>
      <c r="D116" s="623"/>
      <c r="E116" s="623"/>
      <c r="F116" s="623"/>
      <c r="G116" s="623"/>
      <c r="H116" s="623"/>
      <c r="I116" s="623"/>
      <c r="J116" s="169"/>
      <c r="K116" s="169"/>
      <c r="L116" s="169">
        <v>0</v>
      </c>
      <c r="M116" s="169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169">
        <v>0</v>
      </c>
      <c r="V116" s="169">
        <v>0</v>
      </c>
      <c r="W116" s="169">
        <v>0</v>
      </c>
      <c r="X116" s="169">
        <v>0</v>
      </c>
      <c r="Y116" s="169">
        <v>0</v>
      </c>
      <c r="Z116" s="169">
        <v>0</v>
      </c>
      <c r="AA116" s="169">
        <v>0</v>
      </c>
      <c r="AB116" s="169">
        <v>0</v>
      </c>
    </row>
    <row r="117" spans="1:35">
      <c r="B117" s="566"/>
      <c r="C117" s="623"/>
      <c r="D117" s="623"/>
      <c r="E117" s="623"/>
      <c r="F117" s="623"/>
      <c r="G117" s="623"/>
      <c r="H117" s="623"/>
      <c r="I117" s="623"/>
      <c r="J117" s="169"/>
      <c r="K117" s="169"/>
      <c r="L117" s="169">
        <v>0</v>
      </c>
      <c r="M117" s="169">
        <v>0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169">
        <v>0</v>
      </c>
      <c r="V117" s="169">
        <v>0</v>
      </c>
      <c r="W117" s="169">
        <v>0</v>
      </c>
      <c r="X117" s="169">
        <v>0</v>
      </c>
      <c r="Y117" s="169">
        <v>0</v>
      </c>
      <c r="Z117" s="169">
        <v>0</v>
      </c>
      <c r="AA117" s="169">
        <v>0</v>
      </c>
      <c r="AB117" s="169">
        <v>0</v>
      </c>
    </row>
    <row r="118" spans="1:35">
      <c r="B118" s="566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>
        <v>0</v>
      </c>
      <c r="M118" s="169">
        <v>0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169">
        <v>0</v>
      </c>
      <c r="V118" s="169">
        <v>0</v>
      </c>
      <c r="W118" s="169">
        <v>0</v>
      </c>
      <c r="X118" s="169">
        <v>0</v>
      </c>
      <c r="Y118" s="169">
        <v>0</v>
      </c>
      <c r="Z118" s="169">
        <v>0</v>
      </c>
      <c r="AA118" s="169">
        <v>0</v>
      </c>
      <c r="AB118" s="169">
        <v>0</v>
      </c>
    </row>
    <row r="119" spans="1:35">
      <c r="A119" s="207" t="s">
        <v>217</v>
      </c>
      <c r="B119" s="841" t="s">
        <v>672</v>
      </c>
      <c r="C119" s="844">
        <f t="shared" ref="C119:K119" si="122">SUM(C115:C118)</f>
        <v>0</v>
      </c>
      <c r="D119" s="844">
        <f t="shared" si="122"/>
        <v>0</v>
      </c>
      <c r="E119" s="844">
        <f t="shared" si="122"/>
        <v>0</v>
      </c>
      <c r="F119" s="844">
        <f t="shared" si="122"/>
        <v>0</v>
      </c>
      <c r="G119" s="844">
        <f t="shared" si="122"/>
        <v>0</v>
      </c>
      <c r="H119" s="844">
        <f t="shared" si="122"/>
        <v>0</v>
      </c>
      <c r="I119" s="844">
        <f t="shared" si="122"/>
        <v>0</v>
      </c>
      <c r="J119" s="844">
        <f t="shared" si="122"/>
        <v>0</v>
      </c>
      <c r="K119" s="844">
        <f t="shared" si="122"/>
        <v>0</v>
      </c>
      <c r="L119" s="844">
        <f t="shared" ref="L119:O119" si="123">SUM(L115:L118)</f>
        <v>0</v>
      </c>
      <c r="M119" s="844">
        <f t="shared" si="123"/>
        <v>0</v>
      </c>
      <c r="N119" s="844">
        <f t="shared" si="123"/>
        <v>0</v>
      </c>
      <c r="O119" s="844">
        <f t="shared" si="123"/>
        <v>0</v>
      </c>
      <c r="P119" s="844">
        <f>ROUND(SUM(P115:P118),0)</f>
        <v>0</v>
      </c>
      <c r="Q119" s="844">
        <f t="shared" ref="Q119:U119" si="124">ROUND(SUM(Q115:Q118),0)</f>
        <v>0</v>
      </c>
      <c r="R119" s="844">
        <f t="shared" si="124"/>
        <v>0</v>
      </c>
      <c r="S119" s="844">
        <f t="shared" si="124"/>
        <v>0</v>
      </c>
      <c r="T119" s="844">
        <f t="shared" si="124"/>
        <v>0</v>
      </c>
      <c r="U119" s="844">
        <f t="shared" si="124"/>
        <v>0</v>
      </c>
      <c r="V119" s="844">
        <f t="shared" ref="V119:W119" si="125">ROUND(SUM(V115:V118),0)</f>
        <v>0</v>
      </c>
      <c r="W119" s="844">
        <f t="shared" si="125"/>
        <v>0</v>
      </c>
      <c r="X119" s="844">
        <f t="shared" ref="X119:Y119" si="126">ROUND(SUM(X115:X118),0)</f>
        <v>0</v>
      </c>
      <c r="Y119" s="844">
        <f t="shared" si="126"/>
        <v>0</v>
      </c>
      <c r="Z119" s="844">
        <f t="shared" ref="Z119:AB119" si="127">ROUND(SUM(Z115:Z118),0)</f>
        <v>0</v>
      </c>
      <c r="AA119" s="844">
        <f t="shared" si="127"/>
        <v>0</v>
      </c>
      <c r="AB119" s="844">
        <f t="shared" si="127"/>
        <v>0</v>
      </c>
    </row>
    <row r="120" spans="1:35">
      <c r="C120" s="20"/>
      <c r="D120" s="20"/>
      <c r="E120" s="20"/>
      <c r="F120" s="20"/>
      <c r="G120" s="20"/>
      <c r="H120" s="20"/>
      <c r="I120" s="20"/>
      <c r="J120" s="208"/>
      <c r="K120" s="208"/>
      <c r="L120" s="208"/>
      <c r="M120" s="208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83"/>
      <c r="AD120" s="83"/>
    </row>
    <row r="121" spans="1:35">
      <c r="B121" s="566">
        <f>+B115</f>
        <v>0</v>
      </c>
      <c r="C121" s="623"/>
      <c r="D121" s="623"/>
      <c r="E121" s="623"/>
      <c r="F121" s="623"/>
      <c r="G121" s="623"/>
      <c r="H121" s="623"/>
      <c r="I121" s="623"/>
      <c r="J121" s="169"/>
      <c r="K121" s="169"/>
      <c r="L121" s="169">
        <v>0</v>
      </c>
      <c r="M121" s="169">
        <v>0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169">
        <v>0</v>
      </c>
      <c r="V121" s="169">
        <v>0</v>
      </c>
      <c r="W121" s="169">
        <v>0</v>
      </c>
      <c r="X121" s="169">
        <v>0</v>
      </c>
      <c r="Y121" s="169">
        <v>0</v>
      </c>
      <c r="Z121" s="169">
        <v>0</v>
      </c>
      <c r="AA121" s="169">
        <v>0</v>
      </c>
      <c r="AB121" s="169">
        <v>0</v>
      </c>
    </row>
    <row r="122" spans="1:35">
      <c r="B122" s="566">
        <f>+B116</f>
        <v>0</v>
      </c>
      <c r="C122" s="623"/>
      <c r="D122" s="623"/>
      <c r="E122" s="623"/>
      <c r="F122" s="623"/>
      <c r="G122" s="623"/>
      <c r="H122" s="623"/>
      <c r="I122" s="623"/>
      <c r="J122" s="169"/>
      <c r="K122" s="169"/>
      <c r="L122" s="169">
        <v>0</v>
      </c>
      <c r="M122" s="169">
        <v>0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169">
        <v>0</v>
      </c>
      <c r="V122" s="169">
        <v>0</v>
      </c>
      <c r="W122" s="169">
        <v>0</v>
      </c>
      <c r="X122" s="169">
        <v>0</v>
      </c>
      <c r="Y122" s="169">
        <v>0</v>
      </c>
      <c r="Z122" s="169">
        <v>0</v>
      </c>
      <c r="AA122" s="169">
        <v>0</v>
      </c>
      <c r="AB122" s="169">
        <v>0</v>
      </c>
    </row>
    <row r="123" spans="1:35">
      <c r="B123" s="566">
        <f>+B117</f>
        <v>0</v>
      </c>
      <c r="C123" s="623"/>
      <c r="D123" s="623"/>
      <c r="E123" s="623"/>
      <c r="F123" s="623"/>
      <c r="G123" s="623"/>
      <c r="H123" s="623"/>
      <c r="I123" s="623"/>
      <c r="J123" s="169"/>
      <c r="K123" s="169"/>
      <c r="L123" s="169">
        <v>0</v>
      </c>
      <c r="M123" s="169">
        <v>0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169">
        <v>0</v>
      </c>
      <c r="V123" s="169">
        <v>0</v>
      </c>
      <c r="W123" s="169">
        <v>0</v>
      </c>
      <c r="X123" s="169">
        <v>0</v>
      </c>
      <c r="Y123" s="169">
        <v>0</v>
      </c>
      <c r="Z123" s="169">
        <v>0</v>
      </c>
      <c r="AA123" s="169">
        <v>0</v>
      </c>
      <c r="AB123" s="169">
        <v>0</v>
      </c>
    </row>
    <row r="124" spans="1:35">
      <c r="B124" s="566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>
        <v>0</v>
      </c>
      <c r="M124" s="169">
        <v>0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169">
        <v>0</v>
      </c>
      <c r="V124" s="169">
        <v>0</v>
      </c>
      <c r="W124" s="169">
        <v>0</v>
      </c>
      <c r="X124" s="169">
        <v>0</v>
      </c>
      <c r="Y124" s="169">
        <v>0</v>
      </c>
      <c r="Z124" s="169">
        <v>0</v>
      </c>
      <c r="AA124" s="169">
        <v>0</v>
      </c>
      <c r="AB124" s="169">
        <v>0</v>
      </c>
    </row>
    <row r="125" spans="1:35">
      <c r="B125" s="841" t="s">
        <v>673</v>
      </c>
      <c r="C125" s="844">
        <f t="shared" ref="C125:K125" si="128">SUM(C121:C124)</f>
        <v>0</v>
      </c>
      <c r="D125" s="844">
        <f t="shared" si="128"/>
        <v>0</v>
      </c>
      <c r="E125" s="844">
        <f t="shared" si="128"/>
        <v>0</v>
      </c>
      <c r="F125" s="844">
        <f t="shared" si="128"/>
        <v>0</v>
      </c>
      <c r="G125" s="844">
        <f t="shared" si="128"/>
        <v>0</v>
      </c>
      <c r="H125" s="844">
        <f t="shared" si="128"/>
        <v>0</v>
      </c>
      <c r="I125" s="844">
        <f t="shared" si="128"/>
        <v>0</v>
      </c>
      <c r="J125" s="844">
        <f t="shared" si="128"/>
        <v>0</v>
      </c>
      <c r="K125" s="844">
        <f t="shared" si="128"/>
        <v>0</v>
      </c>
      <c r="L125" s="844">
        <f t="shared" ref="L125:U125" si="129">SUM(L121:L124)</f>
        <v>0</v>
      </c>
      <c r="M125" s="844">
        <f t="shared" si="129"/>
        <v>0</v>
      </c>
      <c r="N125" s="844">
        <f t="shared" si="129"/>
        <v>0</v>
      </c>
      <c r="O125" s="844">
        <f t="shared" si="129"/>
        <v>0</v>
      </c>
      <c r="P125" s="844">
        <f t="shared" si="129"/>
        <v>0</v>
      </c>
      <c r="Q125" s="844">
        <f t="shared" si="129"/>
        <v>0</v>
      </c>
      <c r="R125" s="844">
        <f t="shared" si="129"/>
        <v>0</v>
      </c>
      <c r="S125" s="844">
        <f t="shared" si="129"/>
        <v>0</v>
      </c>
      <c r="T125" s="844">
        <f t="shared" ref="T125" si="130">SUM(T121:T124)</f>
        <v>0</v>
      </c>
      <c r="U125" s="844">
        <f t="shared" si="129"/>
        <v>0</v>
      </c>
      <c r="V125" s="844">
        <f t="shared" ref="V125:W125" si="131">SUM(V121:V124)</f>
        <v>0</v>
      </c>
      <c r="W125" s="844">
        <f t="shared" si="131"/>
        <v>0</v>
      </c>
      <c r="X125" s="844">
        <f t="shared" ref="X125:Y125" si="132">SUM(X121:X124)</f>
        <v>0</v>
      </c>
      <c r="Y125" s="844">
        <f t="shared" si="132"/>
        <v>0</v>
      </c>
      <c r="Z125" s="844">
        <f t="shared" ref="Z125:AB125" si="133">SUM(Z121:Z124)</f>
        <v>0</v>
      </c>
      <c r="AA125" s="844">
        <f t="shared" si="133"/>
        <v>0</v>
      </c>
      <c r="AB125" s="844">
        <f t="shared" si="133"/>
        <v>0</v>
      </c>
    </row>
    <row r="126" spans="1:35" ht="12.75" thickBot="1">
      <c r="B126" s="847" t="s">
        <v>674</v>
      </c>
      <c r="C126" s="849">
        <f t="shared" ref="C126:K126" si="134">C119+C125</f>
        <v>0</v>
      </c>
      <c r="D126" s="849">
        <f t="shared" si="134"/>
        <v>0</v>
      </c>
      <c r="E126" s="849">
        <f t="shared" si="134"/>
        <v>0</v>
      </c>
      <c r="F126" s="849">
        <f t="shared" si="134"/>
        <v>0</v>
      </c>
      <c r="G126" s="849">
        <f t="shared" si="134"/>
        <v>0</v>
      </c>
      <c r="H126" s="849">
        <f t="shared" si="134"/>
        <v>0</v>
      </c>
      <c r="I126" s="849">
        <f t="shared" si="134"/>
        <v>0</v>
      </c>
      <c r="J126" s="849">
        <f t="shared" si="134"/>
        <v>0</v>
      </c>
      <c r="K126" s="849">
        <f t="shared" si="134"/>
        <v>0</v>
      </c>
      <c r="L126" s="849">
        <f t="shared" ref="L126:U126" si="135">L119+L125</f>
        <v>0</v>
      </c>
      <c r="M126" s="849">
        <f t="shared" si="135"/>
        <v>0</v>
      </c>
      <c r="N126" s="849">
        <f t="shared" si="135"/>
        <v>0</v>
      </c>
      <c r="O126" s="849">
        <f t="shared" si="135"/>
        <v>0</v>
      </c>
      <c r="P126" s="849">
        <f t="shared" si="135"/>
        <v>0</v>
      </c>
      <c r="Q126" s="849">
        <f t="shared" si="135"/>
        <v>0</v>
      </c>
      <c r="R126" s="849">
        <f t="shared" si="135"/>
        <v>0</v>
      </c>
      <c r="S126" s="849">
        <f t="shared" si="135"/>
        <v>0</v>
      </c>
      <c r="T126" s="849">
        <f t="shared" ref="T126" si="136">T119+T125</f>
        <v>0</v>
      </c>
      <c r="U126" s="849">
        <f t="shared" si="135"/>
        <v>0</v>
      </c>
      <c r="V126" s="849">
        <f t="shared" ref="V126:W126" si="137">V119+V125</f>
        <v>0</v>
      </c>
      <c r="W126" s="849">
        <f t="shared" si="137"/>
        <v>0</v>
      </c>
      <c r="X126" s="849">
        <f t="shared" ref="X126:Y126" si="138">X119+X125</f>
        <v>0</v>
      </c>
      <c r="Y126" s="849">
        <f t="shared" si="138"/>
        <v>0</v>
      </c>
      <c r="Z126" s="849">
        <f t="shared" ref="Z126:AB126" si="139">Z119+Z125</f>
        <v>0</v>
      </c>
      <c r="AA126" s="849">
        <f t="shared" si="139"/>
        <v>0</v>
      </c>
      <c r="AB126" s="849">
        <f t="shared" si="139"/>
        <v>0</v>
      </c>
    </row>
    <row r="127" spans="1:35" s="200" customFormat="1" ht="12.75" thickTop="1">
      <c r="B127" s="573"/>
      <c r="C127" s="4"/>
      <c r="D127" s="4"/>
      <c r="E127" s="4"/>
      <c r="F127" s="202"/>
      <c r="G127" s="21"/>
      <c r="H127" s="21"/>
      <c r="I127" s="21"/>
      <c r="J127" s="203"/>
      <c r="K127" s="203"/>
      <c r="L127" s="203"/>
      <c r="M127" s="203"/>
      <c r="N127" s="203"/>
      <c r="O127" s="20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s="200" t="s">
        <v>142</v>
      </c>
      <c r="B128" s="574" t="s">
        <v>675</v>
      </c>
    </row>
    <row r="129" spans="1:28" ht="15.75">
      <c r="A129" s="207" t="s">
        <v>217</v>
      </c>
      <c r="B129" s="1046" t="s">
        <v>676</v>
      </c>
      <c r="C129" s="1045"/>
      <c r="D129" s="1045"/>
      <c r="E129" s="1045"/>
      <c r="F129" s="1045"/>
      <c r="G129" s="1045"/>
      <c r="H129" s="1045"/>
      <c r="I129" s="1045"/>
      <c r="J129" s="1045"/>
      <c r="K129" s="1045"/>
      <c r="L129" s="1045"/>
      <c r="M129" s="1045"/>
      <c r="N129" s="1045"/>
      <c r="O129" s="1045"/>
      <c r="P129" s="1045"/>
      <c r="Q129" s="1045"/>
      <c r="R129" s="1045"/>
      <c r="S129" s="1045"/>
      <c r="T129" s="1045"/>
      <c r="U129" s="1045"/>
      <c r="V129" s="1045"/>
      <c r="W129"/>
      <c r="X129"/>
      <c r="Y129"/>
      <c r="Z129"/>
      <c r="AA129"/>
      <c r="AB129"/>
    </row>
    <row r="130" spans="1:28">
      <c r="A130" s="207" t="s">
        <v>677</v>
      </c>
      <c r="B130" s="564" t="s">
        <v>678</v>
      </c>
    </row>
    <row r="170" spans="16:16" ht="15">
      <c r="P170" s="263"/>
    </row>
    <row r="171" spans="16:16" ht="15">
      <c r="P171" s="263"/>
    </row>
    <row r="172" spans="16:16" ht="15">
      <c r="P172" s="263"/>
    </row>
    <row r="173" spans="16:16" ht="15">
      <c r="P173" s="263"/>
    </row>
    <row r="174" spans="16:16" ht="15">
      <c r="P174" s="263"/>
    </row>
    <row r="175" spans="16:16" ht="15">
      <c r="P175" s="263"/>
    </row>
    <row r="176" spans="16:16" ht="15">
      <c r="P176" s="263"/>
    </row>
    <row r="177" spans="16:16" ht="15">
      <c r="P177" s="263"/>
    </row>
    <row r="178" spans="16:16" ht="15">
      <c r="P178" s="263"/>
    </row>
  </sheetData>
  <mergeCells count="1">
    <mergeCell ref="B129:V129"/>
  </mergeCells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rowBreaks count="2" manualBreakCount="2">
    <brk id="69" max="21" man="1"/>
    <brk id="101" max="21" man="1"/>
  </rowBreaks>
  <ignoredErrors>
    <ignoredError sqref="L125:Q126 L67:Q67 L52:Q52 L68:O68 P68:Q70 N77:Q77 L83:Q84 L76:Q76 L92:Q97 L99:Q100 V127 C66:K127 L119:U119 R66:X102 R121:U126 R120:S120 U120 V119:X126 Y66:Y108 Z34 Z66:Z86 Z92:Z103 Z119:Z127 Y6:Y38 R35:X38 Z52:Z53 R51:Y53 C53:K55 C52:E52 G52:K52 X40 U34:X34 R104:X108 R103:T103 V103:X103 R110:W110 R109:T109 R112:X118 R111:T111 Y112:Y126 R55:T55 R54:S54 X55:Y55 Y40 Z55" unlockedFormula="1"/>
    <ignoredError sqref="T120" formula="1" unlockedFormula="1"/>
    <ignoredError sqref="T12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1:AC125"/>
  <sheetViews>
    <sheetView showGridLines="0" zoomScaleNormal="100" zoomScaleSheetLayoutView="100" workbookViewId="0">
      <selection activeCell="U5" sqref="U5"/>
    </sheetView>
  </sheetViews>
  <sheetFormatPr defaultColWidth="8.75" defaultRowHeight="12"/>
  <cols>
    <col min="1" max="1" width="2.5" style="4" customWidth="1"/>
    <col min="2" max="2" width="5.875" style="4" bestFit="1" customWidth="1"/>
    <col min="3" max="3" width="25" style="231" bestFit="1" customWidth="1"/>
    <col min="4" max="12" width="5.375" style="4" hidden="1" customWidth="1"/>
    <col min="13" max="15" width="9.625" style="202" hidden="1" customWidth="1"/>
    <col min="16" max="19" width="5.625" style="202" bestFit="1" customWidth="1"/>
    <col min="20" max="21" width="7.125" style="202" bestFit="1" customWidth="1"/>
    <col min="22" max="24" width="7.125" style="4" bestFit="1" customWidth="1"/>
    <col min="25" max="26" width="7.125" style="4" customWidth="1"/>
    <col min="27" max="27" width="1.75" style="361" customWidth="1"/>
    <col min="28" max="16384" width="8.75" style="4"/>
  </cols>
  <sheetData>
    <row r="1" spans="2:29">
      <c r="B1" s="38" t="str">
        <f>Summary!B1</f>
        <v>Municipality of Berkley</v>
      </c>
    </row>
    <row r="2" spans="2:29">
      <c r="B2" s="1047" t="s">
        <v>679</v>
      </c>
      <c r="C2" s="1047"/>
      <c r="D2" s="11"/>
      <c r="E2" s="11"/>
      <c r="F2" s="11"/>
    </row>
    <row r="3" spans="2:29">
      <c r="G3" s="11"/>
      <c r="H3" s="11"/>
      <c r="I3" s="11"/>
      <c r="J3" s="11"/>
      <c r="K3" s="11"/>
      <c r="L3" s="11"/>
      <c r="AA3" s="357"/>
    </row>
    <row r="4" spans="2:29">
      <c r="M4" s="390"/>
      <c r="N4" s="390"/>
      <c r="O4" s="390"/>
      <c r="P4" s="390"/>
      <c r="Q4" s="390"/>
      <c r="R4" s="390"/>
      <c r="S4" s="390"/>
      <c r="T4" s="390"/>
      <c r="U4" s="390"/>
      <c r="AA4" s="49"/>
    </row>
    <row r="5" spans="2:29">
      <c r="D5" s="635" t="s">
        <v>83</v>
      </c>
      <c r="E5" s="635" t="s">
        <v>84</v>
      </c>
      <c r="F5" s="635" t="s">
        <v>85</v>
      </c>
      <c r="G5" s="635" t="s">
        <v>86</v>
      </c>
      <c r="H5" s="635" t="s">
        <v>87</v>
      </c>
      <c r="I5" s="635" t="s">
        <v>88</v>
      </c>
      <c r="J5" s="635" t="s">
        <v>89</v>
      </c>
      <c r="K5" s="635" t="s">
        <v>90</v>
      </c>
      <c r="L5" s="635" t="s">
        <v>91</v>
      </c>
      <c r="M5" s="635" t="s">
        <v>92</v>
      </c>
      <c r="N5" s="635" t="s">
        <v>93</v>
      </c>
      <c r="O5" s="635" t="s">
        <v>94</v>
      </c>
      <c r="P5" s="635" t="s">
        <v>95</v>
      </c>
      <c r="Q5" s="636" t="s">
        <v>96</v>
      </c>
      <c r="R5" s="636" t="s">
        <v>97</v>
      </c>
      <c r="S5" s="636" t="s">
        <v>98</v>
      </c>
      <c r="T5" s="636" t="s">
        <v>99</v>
      </c>
      <c r="U5" s="636" t="s">
        <v>100</v>
      </c>
      <c r="V5" s="636" t="s">
        <v>101</v>
      </c>
      <c r="W5" s="636" t="s">
        <v>102</v>
      </c>
      <c r="X5" s="636" t="s">
        <v>103</v>
      </c>
      <c r="Y5" s="636" t="s">
        <v>104</v>
      </c>
      <c r="Z5" s="636" t="s">
        <v>105</v>
      </c>
      <c r="AA5" s="357"/>
    </row>
    <row r="6" spans="2:29">
      <c r="B6" s="370" t="s">
        <v>680</v>
      </c>
      <c r="C6" s="370" t="s">
        <v>681</v>
      </c>
      <c r="D6" s="635" t="s">
        <v>158</v>
      </c>
      <c r="E6" s="635" t="s">
        <v>158</v>
      </c>
      <c r="F6" s="635" t="s">
        <v>158</v>
      </c>
      <c r="G6" s="635" t="s">
        <v>158</v>
      </c>
      <c r="H6" s="635" t="s">
        <v>158</v>
      </c>
      <c r="I6" s="635" t="s">
        <v>158</v>
      </c>
      <c r="J6" s="635" t="s">
        <v>158</v>
      </c>
      <c r="K6" s="635" t="s">
        <v>158</v>
      </c>
      <c r="L6" s="635" t="s">
        <v>158</v>
      </c>
      <c r="M6" s="635" t="s">
        <v>158</v>
      </c>
      <c r="N6" s="635" t="s">
        <v>158</v>
      </c>
      <c r="O6" s="635" t="s">
        <v>158</v>
      </c>
      <c r="P6" s="635" t="s">
        <v>158</v>
      </c>
      <c r="Q6" s="635" t="s">
        <v>158</v>
      </c>
      <c r="R6" s="635" t="s">
        <v>158</v>
      </c>
      <c r="S6" s="635" t="s">
        <v>158</v>
      </c>
      <c r="T6" s="635" t="s">
        <v>158</v>
      </c>
      <c r="U6" s="635" t="s">
        <v>158</v>
      </c>
      <c r="V6" s="636" t="s">
        <v>159</v>
      </c>
      <c r="W6" s="636" t="s">
        <v>159</v>
      </c>
      <c r="X6" s="636" t="s">
        <v>159</v>
      </c>
      <c r="Y6" s="636" t="s">
        <v>159</v>
      </c>
      <c r="Z6" s="636" t="s">
        <v>159</v>
      </c>
      <c r="AA6" s="357"/>
    </row>
    <row r="7" spans="2:29">
      <c r="B7" s="191" t="s">
        <v>119</v>
      </c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635"/>
      <c r="N7" s="635"/>
      <c r="O7" s="635"/>
      <c r="P7" s="635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357"/>
    </row>
    <row r="8" spans="2:29">
      <c r="B8" s="6"/>
      <c r="C8" s="749"/>
      <c r="D8" s="625">
        <v>0</v>
      </c>
      <c r="E8" s="625">
        <v>0</v>
      </c>
      <c r="F8" s="625">
        <v>0</v>
      </c>
      <c r="G8" s="625">
        <v>0</v>
      </c>
      <c r="H8" s="625">
        <v>0</v>
      </c>
      <c r="I8" s="625">
        <v>0</v>
      </c>
      <c r="J8" s="625">
        <v>0</v>
      </c>
      <c r="K8" s="625">
        <v>0</v>
      </c>
      <c r="L8" s="625">
        <v>0</v>
      </c>
      <c r="M8" s="625">
        <v>0</v>
      </c>
      <c r="N8" s="625">
        <v>0</v>
      </c>
      <c r="O8" s="625">
        <v>0</v>
      </c>
      <c r="P8" s="625">
        <v>0</v>
      </c>
      <c r="Q8" s="625">
        <v>0</v>
      </c>
      <c r="R8" s="625">
        <v>0</v>
      </c>
      <c r="S8" s="625">
        <v>0</v>
      </c>
      <c r="T8" s="625">
        <v>0</v>
      </c>
      <c r="U8" s="625">
        <v>0</v>
      </c>
      <c r="V8" s="625">
        <v>0</v>
      </c>
      <c r="W8" s="625">
        <v>0</v>
      </c>
      <c r="X8" s="625">
        <v>0</v>
      </c>
      <c r="Y8" s="625">
        <v>0</v>
      </c>
      <c r="Z8" s="625">
        <v>0</v>
      </c>
      <c r="AA8" s="357"/>
      <c r="AC8" s="4" t="s">
        <v>682</v>
      </c>
    </row>
    <row r="9" spans="2:29">
      <c r="B9" s="6"/>
      <c r="C9" s="371"/>
      <c r="D9" s="626">
        <v>0</v>
      </c>
      <c r="E9" s="626">
        <v>0</v>
      </c>
      <c r="F9" s="626">
        <v>0</v>
      </c>
      <c r="G9" s="626">
        <v>0</v>
      </c>
      <c r="H9" s="626">
        <v>0</v>
      </c>
      <c r="I9" s="626">
        <v>0</v>
      </c>
      <c r="J9" s="626">
        <v>0</v>
      </c>
      <c r="K9" s="626">
        <v>0</v>
      </c>
      <c r="L9" s="626">
        <v>0</v>
      </c>
      <c r="M9" s="626">
        <v>0</v>
      </c>
      <c r="N9" s="626">
        <v>0</v>
      </c>
      <c r="O9" s="626">
        <v>0</v>
      </c>
      <c r="P9" s="626">
        <v>0</v>
      </c>
      <c r="Q9" s="626">
        <v>0</v>
      </c>
      <c r="R9" s="626">
        <v>0</v>
      </c>
      <c r="S9" s="626">
        <v>0</v>
      </c>
      <c r="T9" s="626">
        <v>0</v>
      </c>
      <c r="U9" s="626">
        <v>0</v>
      </c>
      <c r="V9" s="626">
        <v>0</v>
      </c>
      <c r="W9" s="626">
        <v>0</v>
      </c>
      <c r="X9" s="626">
        <v>0</v>
      </c>
      <c r="Y9" s="626">
        <v>0</v>
      </c>
      <c r="Z9" s="626">
        <v>0</v>
      </c>
      <c r="AA9" s="357"/>
    </row>
    <row r="10" spans="2:29">
      <c r="B10" s="6"/>
      <c r="C10" s="749"/>
      <c r="D10" s="625">
        <v>0</v>
      </c>
      <c r="E10" s="625">
        <v>0</v>
      </c>
      <c r="F10" s="625">
        <v>0</v>
      </c>
      <c r="G10" s="625">
        <v>0</v>
      </c>
      <c r="H10" s="625">
        <v>0</v>
      </c>
      <c r="I10" s="625">
        <v>0</v>
      </c>
      <c r="J10" s="625">
        <v>0</v>
      </c>
      <c r="K10" s="625">
        <v>0</v>
      </c>
      <c r="L10" s="625">
        <v>0</v>
      </c>
      <c r="M10" s="625">
        <v>0</v>
      </c>
      <c r="N10" s="625">
        <v>0</v>
      </c>
      <c r="O10" s="625">
        <v>0</v>
      </c>
      <c r="P10" s="625">
        <v>0</v>
      </c>
      <c r="Q10" s="625">
        <v>0</v>
      </c>
      <c r="R10" s="625">
        <v>0</v>
      </c>
      <c r="S10" s="625">
        <v>0</v>
      </c>
      <c r="T10" s="625">
        <v>0</v>
      </c>
      <c r="U10" s="625">
        <v>0</v>
      </c>
      <c r="V10" s="625">
        <v>0</v>
      </c>
      <c r="W10" s="625">
        <v>0</v>
      </c>
      <c r="X10" s="625">
        <v>0</v>
      </c>
      <c r="Y10" s="625">
        <v>0</v>
      </c>
      <c r="Z10" s="625">
        <v>0</v>
      </c>
      <c r="AA10" s="357"/>
    </row>
    <row r="11" spans="2:29">
      <c r="B11" s="6"/>
      <c r="C11" s="749"/>
      <c r="D11" s="625">
        <v>0</v>
      </c>
      <c r="E11" s="625">
        <v>0</v>
      </c>
      <c r="F11" s="625">
        <v>0</v>
      </c>
      <c r="G11" s="625">
        <v>0</v>
      </c>
      <c r="H11" s="625">
        <v>0</v>
      </c>
      <c r="I11" s="625">
        <v>0</v>
      </c>
      <c r="J11" s="625">
        <v>0</v>
      </c>
      <c r="K11" s="625">
        <v>0</v>
      </c>
      <c r="L11" s="625">
        <v>0</v>
      </c>
      <c r="M11" s="625">
        <v>0</v>
      </c>
      <c r="N11" s="625">
        <v>0</v>
      </c>
      <c r="O11" s="625">
        <v>0</v>
      </c>
      <c r="P11" s="625">
        <v>0</v>
      </c>
      <c r="Q11" s="625">
        <v>0</v>
      </c>
      <c r="R11" s="625">
        <v>0</v>
      </c>
      <c r="S11" s="625">
        <v>0</v>
      </c>
      <c r="T11" s="625">
        <v>0</v>
      </c>
      <c r="U11" s="625">
        <v>0</v>
      </c>
      <c r="V11" s="625">
        <v>0</v>
      </c>
      <c r="W11" s="625">
        <v>0</v>
      </c>
      <c r="X11" s="625">
        <v>0</v>
      </c>
      <c r="Y11" s="625">
        <v>0</v>
      </c>
      <c r="Z11" s="625">
        <v>0</v>
      </c>
      <c r="AA11" s="357"/>
    </row>
    <row r="12" spans="2:29">
      <c r="B12" s="6"/>
      <c r="C12" s="800" t="s">
        <v>477</v>
      </c>
      <c r="D12" s="801">
        <f t="shared" ref="D12:S12" si="0">SUM(D8:D11)</f>
        <v>0</v>
      </c>
      <c r="E12" s="801">
        <f t="shared" si="0"/>
        <v>0</v>
      </c>
      <c r="F12" s="801">
        <f t="shared" si="0"/>
        <v>0</v>
      </c>
      <c r="G12" s="801">
        <f t="shared" si="0"/>
        <v>0</v>
      </c>
      <c r="H12" s="801">
        <f t="shared" si="0"/>
        <v>0</v>
      </c>
      <c r="I12" s="801">
        <f t="shared" si="0"/>
        <v>0</v>
      </c>
      <c r="J12" s="801">
        <f t="shared" si="0"/>
        <v>0</v>
      </c>
      <c r="K12" s="801">
        <f t="shared" si="0"/>
        <v>0</v>
      </c>
      <c r="L12" s="801">
        <f t="shared" si="0"/>
        <v>0</v>
      </c>
      <c r="M12" s="801">
        <f t="shared" si="0"/>
        <v>0</v>
      </c>
      <c r="N12" s="801">
        <f t="shared" si="0"/>
        <v>0</v>
      </c>
      <c r="O12" s="801">
        <f t="shared" si="0"/>
        <v>0</v>
      </c>
      <c r="P12" s="801">
        <f t="shared" si="0"/>
        <v>0</v>
      </c>
      <c r="Q12" s="801">
        <f t="shared" si="0"/>
        <v>0</v>
      </c>
      <c r="R12" s="801">
        <f t="shared" si="0"/>
        <v>0</v>
      </c>
      <c r="S12" s="801">
        <f t="shared" si="0"/>
        <v>0</v>
      </c>
      <c r="T12" s="801">
        <f t="shared" ref="T12:U12" si="1">SUM(T8:T11)</f>
        <v>0</v>
      </c>
      <c r="U12" s="801">
        <f t="shared" si="1"/>
        <v>0</v>
      </c>
      <c r="V12" s="801">
        <f t="shared" ref="V12:W12" si="2">SUM(V8:V11)</f>
        <v>0</v>
      </c>
      <c r="W12" s="801">
        <f t="shared" si="2"/>
        <v>0</v>
      </c>
      <c r="X12" s="801">
        <f t="shared" ref="X12:Y12" si="3">SUM(X8:X11)</f>
        <v>0</v>
      </c>
      <c r="Y12" s="801">
        <f t="shared" si="3"/>
        <v>0</v>
      </c>
      <c r="Z12" s="801">
        <f t="shared" ref="Z12" si="4">SUM(Z8:Z11)</f>
        <v>0</v>
      </c>
      <c r="AA12" s="357"/>
    </row>
    <row r="13" spans="2:29">
      <c r="B13" s="6"/>
      <c r="C13" s="749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57"/>
    </row>
    <row r="14" spans="2:29">
      <c r="B14" s="6"/>
      <c r="C14" s="749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0</v>
      </c>
      <c r="M14" s="625">
        <v>0</v>
      </c>
      <c r="N14" s="625">
        <v>0</v>
      </c>
      <c r="O14" s="625">
        <v>0</v>
      </c>
      <c r="P14" s="625">
        <v>0</v>
      </c>
      <c r="Q14" s="625">
        <v>0</v>
      </c>
      <c r="R14" s="625">
        <v>0</v>
      </c>
      <c r="S14" s="625">
        <v>0</v>
      </c>
      <c r="T14" s="625">
        <v>0</v>
      </c>
      <c r="U14" s="625">
        <v>0</v>
      </c>
      <c r="V14" s="625">
        <v>0</v>
      </c>
      <c r="W14" s="625">
        <v>0</v>
      </c>
      <c r="X14" s="625">
        <v>0</v>
      </c>
      <c r="Y14" s="625">
        <v>0</v>
      </c>
      <c r="Z14" s="625">
        <v>0</v>
      </c>
      <c r="AA14" s="357"/>
    </row>
    <row r="15" spans="2:29">
      <c r="B15" s="6"/>
      <c r="C15" s="749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0</v>
      </c>
      <c r="N15" s="625">
        <v>0</v>
      </c>
      <c r="O15" s="625">
        <v>0</v>
      </c>
      <c r="P15" s="625">
        <v>0</v>
      </c>
      <c r="Q15" s="625">
        <v>0</v>
      </c>
      <c r="R15" s="625">
        <v>0</v>
      </c>
      <c r="S15" s="625">
        <v>0</v>
      </c>
      <c r="T15" s="625">
        <v>0</v>
      </c>
      <c r="U15" s="625">
        <v>0</v>
      </c>
      <c r="V15" s="625">
        <v>0</v>
      </c>
      <c r="W15" s="625">
        <v>0</v>
      </c>
      <c r="X15" s="625">
        <v>0</v>
      </c>
      <c r="Y15" s="625">
        <v>0</v>
      </c>
      <c r="Z15" s="625">
        <v>0</v>
      </c>
      <c r="AA15" s="357"/>
    </row>
    <row r="16" spans="2:29">
      <c r="B16" s="6"/>
      <c r="C16" s="749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625">
        <v>0</v>
      </c>
      <c r="N16" s="625">
        <v>0</v>
      </c>
      <c r="O16" s="625">
        <v>0</v>
      </c>
      <c r="P16" s="625">
        <v>0</v>
      </c>
      <c r="Q16" s="625">
        <v>0</v>
      </c>
      <c r="R16" s="625">
        <v>0</v>
      </c>
      <c r="S16" s="625">
        <v>0</v>
      </c>
      <c r="T16" s="625">
        <v>0</v>
      </c>
      <c r="U16" s="625">
        <v>0</v>
      </c>
      <c r="V16" s="625">
        <v>0</v>
      </c>
      <c r="W16" s="625">
        <v>0</v>
      </c>
      <c r="X16" s="625">
        <v>0</v>
      </c>
      <c r="Y16" s="625">
        <v>0</v>
      </c>
      <c r="Z16" s="625">
        <v>0</v>
      </c>
      <c r="AA16" s="357"/>
    </row>
    <row r="17" spans="2:27">
      <c r="B17" s="6"/>
      <c r="C17" s="750" t="s">
        <v>683</v>
      </c>
      <c r="D17" s="628">
        <f t="shared" ref="D17:S17" si="5">SUM(D14:D16)</f>
        <v>0</v>
      </c>
      <c r="E17" s="628">
        <f t="shared" si="5"/>
        <v>0</v>
      </c>
      <c r="F17" s="628">
        <f t="shared" si="5"/>
        <v>0</v>
      </c>
      <c r="G17" s="628">
        <f t="shared" si="5"/>
        <v>0</v>
      </c>
      <c r="H17" s="628">
        <f t="shared" si="5"/>
        <v>0</v>
      </c>
      <c r="I17" s="628">
        <f t="shared" si="5"/>
        <v>0</v>
      </c>
      <c r="J17" s="628">
        <f t="shared" si="5"/>
        <v>0</v>
      </c>
      <c r="K17" s="628">
        <f t="shared" si="5"/>
        <v>0</v>
      </c>
      <c r="L17" s="628">
        <f t="shared" si="5"/>
        <v>0</v>
      </c>
      <c r="M17" s="628">
        <f t="shared" si="5"/>
        <v>0</v>
      </c>
      <c r="N17" s="628">
        <f t="shared" si="5"/>
        <v>0</v>
      </c>
      <c r="O17" s="628">
        <f t="shared" si="5"/>
        <v>0</v>
      </c>
      <c r="P17" s="628">
        <f t="shared" si="5"/>
        <v>0</v>
      </c>
      <c r="Q17" s="628">
        <f t="shared" si="5"/>
        <v>0</v>
      </c>
      <c r="R17" s="628">
        <f t="shared" si="5"/>
        <v>0</v>
      </c>
      <c r="S17" s="628">
        <f t="shared" si="5"/>
        <v>0</v>
      </c>
      <c r="T17" s="628">
        <f t="shared" ref="T17:U17" si="6">SUM(T14:T16)</f>
        <v>0</v>
      </c>
      <c r="U17" s="628">
        <f t="shared" si="6"/>
        <v>0</v>
      </c>
      <c r="V17" s="628">
        <f t="shared" ref="V17:W17" si="7">SUM(V14:V16)</f>
        <v>0</v>
      </c>
      <c r="W17" s="628">
        <f t="shared" si="7"/>
        <v>0</v>
      </c>
      <c r="X17" s="628">
        <f t="shared" ref="X17:Y17" si="8">SUM(X14:X16)</f>
        <v>0</v>
      </c>
      <c r="Y17" s="628">
        <f t="shared" si="8"/>
        <v>0</v>
      </c>
      <c r="Z17" s="628">
        <f t="shared" ref="Z17" si="9">SUM(Z14:Z16)</f>
        <v>0</v>
      </c>
      <c r="AA17" s="357"/>
    </row>
    <row r="18" spans="2:27">
      <c r="B18" s="6"/>
      <c r="C18" s="749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57"/>
    </row>
    <row r="19" spans="2:27">
      <c r="B19" s="6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625">
        <v>0</v>
      </c>
      <c r="N19" s="625">
        <v>0</v>
      </c>
      <c r="O19" s="625">
        <v>0</v>
      </c>
      <c r="P19" s="625">
        <v>0</v>
      </c>
      <c r="Q19" s="625">
        <v>0</v>
      </c>
      <c r="R19" s="625">
        <v>0</v>
      </c>
      <c r="S19" s="625">
        <v>0</v>
      </c>
      <c r="T19" s="625">
        <v>0</v>
      </c>
      <c r="U19" s="625">
        <v>0</v>
      </c>
      <c r="V19" s="625">
        <v>0</v>
      </c>
      <c r="W19" s="625">
        <v>0</v>
      </c>
      <c r="X19" s="625">
        <v>0</v>
      </c>
      <c r="Y19" s="625">
        <v>0</v>
      </c>
      <c r="Z19" s="625">
        <v>0</v>
      </c>
      <c r="AA19" s="357"/>
    </row>
    <row r="20" spans="2:27">
      <c r="B20" s="6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5">
        <v>0</v>
      </c>
      <c r="N20" s="625">
        <v>0</v>
      </c>
      <c r="O20" s="625">
        <v>0</v>
      </c>
      <c r="P20" s="625">
        <v>0</v>
      </c>
      <c r="Q20" s="625">
        <v>0</v>
      </c>
      <c r="R20" s="625">
        <v>0</v>
      </c>
      <c r="S20" s="625">
        <v>0</v>
      </c>
      <c r="T20" s="625">
        <v>0</v>
      </c>
      <c r="U20" s="625">
        <v>0</v>
      </c>
      <c r="V20" s="625">
        <v>0</v>
      </c>
      <c r="W20" s="625">
        <v>0</v>
      </c>
      <c r="X20" s="625">
        <v>0</v>
      </c>
      <c r="Y20" s="625">
        <v>0</v>
      </c>
      <c r="Z20" s="625">
        <v>0</v>
      </c>
      <c r="AA20" s="357"/>
    </row>
    <row r="21" spans="2:27">
      <c r="B21" s="6"/>
      <c r="C21" s="749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0</v>
      </c>
      <c r="N21" s="625">
        <v>0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357"/>
    </row>
    <row r="22" spans="2:27">
      <c r="B22" s="6"/>
      <c r="C22" s="749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0</v>
      </c>
      <c r="N22" s="625">
        <v>0</v>
      </c>
      <c r="O22" s="625">
        <v>0</v>
      </c>
      <c r="P22" s="625">
        <v>0</v>
      </c>
      <c r="Q22" s="625">
        <v>0</v>
      </c>
      <c r="R22" s="625">
        <v>0</v>
      </c>
      <c r="S22" s="625">
        <v>0</v>
      </c>
      <c r="T22" s="625">
        <v>0</v>
      </c>
      <c r="U22" s="625">
        <v>0</v>
      </c>
      <c r="V22" s="625">
        <v>0</v>
      </c>
      <c r="W22" s="625">
        <v>0</v>
      </c>
      <c r="X22" s="625">
        <v>0</v>
      </c>
      <c r="Y22" s="625">
        <v>0</v>
      </c>
      <c r="Z22" s="625">
        <v>0</v>
      </c>
      <c r="AA22" s="357"/>
    </row>
    <row r="23" spans="2:27">
      <c r="B23" s="6"/>
      <c r="C23" s="750" t="s">
        <v>684</v>
      </c>
      <c r="D23" s="628">
        <f t="shared" ref="D23:S23" si="10">SUM(D19:D22)</f>
        <v>0</v>
      </c>
      <c r="E23" s="628">
        <f t="shared" si="10"/>
        <v>0</v>
      </c>
      <c r="F23" s="628">
        <f t="shared" si="10"/>
        <v>0</v>
      </c>
      <c r="G23" s="628">
        <f t="shared" si="10"/>
        <v>0</v>
      </c>
      <c r="H23" s="628">
        <f t="shared" si="10"/>
        <v>0</v>
      </c>
      <c r="I23" s="628">
        <f t="shared" si="10"/>
        <v>0</v>
      </c>
      <c r="J23" s="628">
        <f t="shared" si="10"/>
        <v>0</v>
      </c>
      <c r="K23" s="628">
        <f t="shared" si="10"/>
        <v>0</v>
      </c>
      <c r="L23" s="628">
        <f t="shared" si="10"/>
        <v>0</v>
      </c>
      <c r="M23" s="628">
        <f t="shared" si="10"/>
        <v>0</v>
      </c>
      <c r="N23" s="628">
        <f t="shared" si="10"/>
        <v>0</v>
      </c>
      <c r="O23" s="628">
        <f t="shared" si="10"/>
        <v>0</v>
      </c>
      <c r="P23" s="628">
        <f t="shared" si="10"/>
        <v>0</v>
      </c>
      <c r="Q23" s="628">
        <f t="shared" si="10"/>
        <v>0</v>
      </c>
      <c r="R23" s="628">
        <f t="shared" si="10"/>
        <v>0</v>
      </c>
      <c r="S23" s="628">
        <f t="shared" si="10"/>
        <v>0</v>
      </c>
      <c r="T23" s="628">
        <f t="shared" ref="T23:U23" si="11">SUM(T19:T22)</f>
        <v>0</v>
      </c>
      <c r="U23" s="628">
        <f t="shared" si="11"/>
        <v>0</v>
      </c>
      <c r="V23" s="628">
        <f t="shared" ref="V23:W23" si="12">SUM(V19:V22)</f>
        <v>0</v>
      </c>
      <c r="W23" s="628">
        <f t="shared" si="12"/>
        <v>0</v>
      </c>
      <c r="X23" s="628">
        <f t="shared" ref="X23:Y23" si="13">SUM(X19:X22)</f>
        <v>0</v>
      </c>
      <c r="Y23" s="628">
        <f t="shared" si="13"/>
        <v>0</v>
      </c>
      <c r="Z23" s="628">
        <f t="shared" ref="Z23" si="14">SUM(Z19:Z22)</f>
        <v>0</v>
      </c>
      <c r="AA23" s="357"/>
    </row>
    <row r="24" spans="2:27">
      <c r="B24" s="6"/>
      <c r="C24" s="749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57"/>
    </row>
    <row r="25" spans="2:27">
      <c r="B25" s="6"/>
      <c r="C25" s="749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625">
        <v>0</v>
      </c>
      <c r="N25" s="625">
        <v>0</v>
      </c>
      <c r="O25" s="625">
        <v>0</v>
      </c>
      <c r="P25" s="625">
        <v>0</v>
      </c>
      <c r="Q25" s="625">
        <v>0</v>
      </c>
      <c r="R25" s="625">
        <v>0</v>
      </c>
      <c r="S25" s="625">
        <v>0</v>
      </c>
      <c r="T25" s="625">
        <v>0</v>
      </c>
      <c r="U25" s="625">
        <v>0</v>
      </c>
      <c r="V25" s="625">
        <v>0</v>
      </c>
      <c r="W25" s="625">
        <v>0</v>
      </c>
      <c r="X25" s="625">
        <v>0</v>
      </c>
      <c r="Y25" s="625">
        <v>0</v>
      </c>
      <c r="Z25" s="625">
        <v>0</v>
      </c>
      <c r="AA25" s="357"/>
    </row>
    <row r="26" spans="2:27">
      <c r="B26" s="6"/>
      <c r="C26" s="750" t="s">
        <v>685</v>
      </c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  <c r="N26" s="625">
        <v>0</v>
      </c>
      <c r="O26" s="625">
        <v>0</v>
      </c>
      <c r="P26" s="625">
        <v>0</v>
      </c>
      <c r="Q26" s="625">
        <v>0</v>
      </c>
      <c r="R26" s="625">
        <v>0</v>
      </c>
      <c r="S26" s="625">
        <v>0</v>
      </c>
      <c r="T26" s="625">
        <v>0</v>
      </c>
      <c r="U26" s="625">
        <v>0</v>
      </c>
      <c r="V26" s="625">
        <v>0</v>
      </c>
      <c r="W26" s="625">
        <v>0</v>
      </c>
      <c r="X26" s="625">
        <v>0</v>
      </c>
      <c r="Y26" s="625">
        <v>0</v>
      </c>
      <c r="Z26" s="625">
        <v>0</v>
      </c>
      <c r="AA26" s="357"/>
    </row>
    <row r="27" spans="2:27">
      <c r="B27" s="6"/>
      <c r="C27" s="800" t="s">
        <v>490</v>
      </c>
      <c r="D27" s="801">
        <f t="shared" ref="D27:S27" si="15">+D17+D23+D26</f>
        <v>0</v>
      </c>
      <c r="E27" s="801">
        <f t="shared" si="15"/>
        <v>0</v>
      </c>
      <c r="F27" s="801">
        <f t="shared" si="15"/>
        <v>0</v>
      </c>
      <c r="G27" s="801">
        <f t="shared" si="15"/>
        <v>0</v>
      </c>
      <c r="H27" s="801">
        <f t="shared" si="15"/>
        <v>0</v>
      </c>
      <c r="I27" s="801">
        <f t="shared" si="15"/>
        <v>0</v>
      </c>
      <c r="J27" s="801">
        <f t="shared" si="15"/>
        <v>0</v>
      </c>
      <c r="K27" s="801">
        <f t="shared" si="15"/>
        <v>0</v>
      </c>
      <c r="L27" s="801">
        <f t="shared" si="15"/>
        <v>0</v>
      </c>
      <c r="M27" s="801">
        <f t="shared" si="15"/>
        <v>0</v>
      </c>
      <c r="N27" s="801">
        <f t="shared" si="15"/>
        <v>0</v>
      </c>
      <c r="O27" s="801">
        <f t="shared" si="15"/>
        <v>0</v>
      </c>
      <c r="P27" s="801">
        <f t="shared" si="15"/>
        <v>0</v>
      </c>
      <c r="Q27" s="801">
        <f t="shared" si="15"/>
        <v>0</v>
      </c>
      <c r="R27" s="801">
        <f t="shared" si="15"/>
        <v>0</v>
      </c>
      <c r="S27" s="801">
        <f t="shared" si="15"/>
        <v>0</v>
      </c>
      <c r="T27" s="801">
        <f t="shared" ref="T27:U27" si="16">+T17+T23+T26</f>
        <v>0</v>
      </c>
      <c r="U27" s="801">
        <f t="shared" si="16"/>
        <v>0</v>
      </c>
      <c r="V27" s="801">
        <f t="shared" ref="V27:W27" si="17">+V17+V23+V26</f>
        <v>0</v>
      </c>
      <c r="W27" s="801">
        <f t="shared" si="17"/>
        <v>0</v>
      </c>
      <c r="X27" s="801">
        <f t="shared" ref="X27:Y27" si="18">+X17+X23+X26</f>
        <v>0</v>
      </c>
      <c r="Y27" s="801">
        <f t="shared" si="18"/>
        <v>0</v>
      </c>
      <c r="Z27" s="801">
        <f t="shared" ref="Z27" si="19">+Z17+Z23+Z26</f>
        <v>0</v>
      </c>
      <c r="AA27" s="357"/>
    </row>
    <row r="28" spans="2:27">
      <c r="B28" s="6"/>
      <c r="C28" s="751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57"/>
    </row>
    <row r="29" spans="2:27">
      <c r="B29" s="191"/>
      <c r="C29" s="749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57"/>
    </row>
    <row r="30" spans="2:27">
      <c r="B30" s="191"/>
      <c r="C30" s="749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625">
        <v>0</v>
      </c>
      <c r="N30" s="625">
        <v>0</v>
      </c>
      <c r="O30" s="625">
        <v>0</v>
      </c>
      <c r="P30" s="625">
        <v>0</v>
      </c>
      <c r="Q30" s="625">
        <v>0</v>
      </c>
      <c r="R30" s="625">
        <v>0</v>
      </c>
      <c r="S30" s="625">
        <v>0</v>
      </c>
      <c r="T30" s="625">
        <v>0</v>
      </c>
      <c r="U30" s="625">
        <v>0</v>
      </c>
      <c r="V30" s="625">
        <v>0</v>
      </c>
      <c r="W30" s="625">
        <v>0</v>
      </c>
      <c r="X30" s="625">
        <v>0</v>
      </c>
      <c r="Y30" s="625">
        <v>0</v>
      </c>
      <c r="Z30" s="625">
        <v>0</v>
      </c>
      <c r="AA30" s="357"/>
    </row>
    <row r="31" spans="2:27">
      <c r="B31" s="191"/>
      <c r="C31" s="749"/>
      <c r="D31" s="625">
        <v>0</v>
      </c>
      <c r="E31" s="625">
        <v>0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5">
        <v>0</v>
      </c>
      <c r="N31" s="625">
        <v>0</v>
      </c>
      <c r="O31" s="625">
        <v>0</v>
      </c>
      <c r="P31" s="625">
        <v>0</v>
      </c>
      <c r="Q31" s="625">
        <v>0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5">
        <v>0</v>
      </c>
      <c r="X31" s="625">
        <v>0</v>
      </c>
      <c r="Y31" s="625">
        <v>0</v>
      </c>
      <c r="Z31" s="625">
        <v>0</v>
      </c>
      <c r="AA31" s="357"/>
    </row>
    <row r="32" spans="2:27">
      <c r="B32" s="6"/>
      <c r="C32" s="750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0</v>
      </c>
      <c r="N32" s="625">
        <v>0</v>
      </c>
      <c r="O32" s="625">
        <v>0</v>
      </c>
      <c r="P32" s="625">
        <v>0</v>
      </c>
      <c r="Q32" s="625">
        <v>0</v>
      </c>
      <c r="R32" s="625">
        <v>0</v>
      </c>
      <c r="S32" s="625">
        <v>0</v>
      </c>
      <c r="T32" s="625">
        <v>0</v>
      </c>
      <c r="U32" s="625">
        <v>0</v>
      </c>
      <c r="V32" s="625">
        <v>0</v>
      </c>
      <c r="W32" s="625">
        <v>0</v>
      </c>
      <c r="X32" s="625">
        <v>0</v>
      </c>
      <c r="Y32" s="625">
        <v>0</v>
      </c>
      <c r="Z32" s="625">
        <v>0</v>
      </c>
      <c r="AA32" s="357"/>
    </row>
    <row r="33" spans="2:27">
      <c r="B33" s="6"/>
      <c r="C33" s="802" t="s">
        <v>507</v>
      </c>
      <c r="D33" s="801">
        <f>SUM(D30:D32)</f>
        <v>0</v>
      </c>
      <c r="E33" s="801">
        <f t="shared" ref="E33:V33" si="20">SUM(E30:E32)</f>
        <v>0</v>
      </c>
      <c r="F33" s="801">
        <f t="shared" si="20"/>
        <v>0</v>
      </c>
      <c r="G33" s="801">
        <f t="shared" si="20"/>
        <v>0</v>
      </c>
      <c r="H33" s="801">
        <f t="shared" si="20"/>
        <v>0</v>
      </c>
      <c r="I33" s="801">
        <f t="shared" si="20"/>
        <v>0</v>
      </c>
      <c r="J33" s="801">
        <f t="shared" si="20"/>
        <v>0</v>
      </c>
      <c r="K33" s="801">
        <f t="shared" si="20"/>
        <v>0</v>
      </c>
      <c r="L33" s="801">
        <f t="shared" si="20"/>
        <v>0</v>
      </c>
      <c r="M33" s="801">
        <f t="shared" si="20"/>
        <v>0</v>
      </c>
      <c r="N33" s="801">
        <f t="shared" si="20"/>
        <v>0</v>
      </c>
      <c r="O33" s="801">
        <f t="shared" si="20"/>
        <v>0</v>
      </c>
      <c r="P33" s="801">
        <f t="shared" si="20"/>
        <v>0</v>
      </c>
      <c r="Q33" s="801">
        <f t="shared" si="20"/>
        <v>0</v>
      </c>
      <c r="R33" s="801">
        <f t="shared" si="20"/>
        <v>0</v>
      </c>
      <c r="S33" s="801">
        <f t="shared" si="20"/>
        <v>0</v>
      </c>
      <c r="T33" s="801">
        <f t="shared" si="20"/>
        <v>0</v>
      </c>
      <c r="U33" s="801">
        <f t="shared" si="20"/>
        <v>0</v>
      </c>
      <c r="V33" s="801">
        <f t="shared" si="20"/>
        <v>0</v>
      </c>
      <c r="W33" s="801">
        <f t="shared" ref="W33:X33" si="21">SUM(W30:W32)</f>
        <v>0</v>
      </c>
      <c r="X33" s="801">
        <f t="shared" si="21"/>
        <v>0</v>
      </c>
      <c r="Y33" s="801">
        <f t="shared" ref="Y33:Z33" si="22">SUM(Y30:Y32)</f>
        <v>0</v>
      </c>
      <c r="Z33" s="801">
        <f t="shared" si="22"/>
        <v>0</v>
      </c>
      <c r="AA33" s="357"/>
    </row>
    <row r="34" spans="2:27">
      <c r="B34" s="6"/>
      <c r="C34" s="751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57"/>
    </row>
    <row r="35" spans="2:27">
      <c r="B35" s="6"/>
      <c r="C35" s="749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625">
        <v>0</v>
      </c>
      <c r="O35" s="625">
        <v>0</v>
      </c>
      <c r="P35" s="625">
        <v>0</v>
      </c>
      <c r="Q35" s="625">
        <v>0</v>
      </c>
      <c r="R35" s="625">
        <v>0</v>
      </c>
      <c r="S35" s="625">
        <v>0</v>
      </c>
      <c r="T35" s="625">
        <v>0</v>
      </c>
      <c r="U35" s="625">
        <v>0</v>
      </c>
      <c r="V35" s="625">
        <v>0</v>
      </c>
      <c r="W35" s="625">
        <v>0</v>
      </c>
      <c r="X35" s="625">
        <v>0</v>
      </c>
      <c r="Y35" s="625">
        <v>0</v>
      </c>
      <c r="Z35" s="625">
        <v>0</v>
      </c>
      <c r="AA35" s="357"/>
    </row>
    <row r="36" spans="2:27">
      <c r="B36" s="6"/>
      <c r="C36" s="749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5">
        <v>0</v>
      </c>
      <c r="N36" s="625">
        <v>0</v>
      </c>
      <c r="O36" s="625">
        <v>0</v>
      </c>
      <c r="P36" s="625">
        <v>0</v>
      </c>
      <c r="Q36" s="625">
        <v>0</v>
      </c>
      <c r="R36" s="625">
        <v>0</v>
      </c>
      <c r="S36" s="625">
        <v>0</v>
      </c>
      <c r="T36" s="625">
        <v>0</v>
      </c>
      <c r="U36" s="625">
        <v>0</v>
      </c>
      <c r="V36" s="625">
        <v>0</v>
      </c>
      <c r="W36" s="625">
        <v>0</v>
      </c>
      <c r="X36" s="625">
        <v>0</v>
      </c>
      <c r="Y36" s="625">
        <v>0</v>
      </c>
      <c r="Z36" s="625">
        <v>0</v>
      </c>
      <c r="AA36" s="357"/>
    </row>
    <row r="37" spans="2:27">
      <c r="B37" s="6"/>
      <c r="C37" s="749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5">
        <v>0</v>
      </c>
      <c r="N37" s="625">
        <v>0</v>
      </c>
      <c r="O37" s="625">
        <v>0</v>
      </c>
      <c r="P37" s="625">
        <v>0</v>
      </c>
      <c r="Q37" s="625">
        <v>0</v>
      </c>
      <c r="R37" s="625">
        <v>0</v>
      </c>
      <c r="S37" s="625">
        <v>0</v>
      </c>
      <c r="T37" s="625">
        <v>0</v>
      </c>
      <c r="U37" s="625">
        <v>0</v>
      </c>
      <c r="V37" s="625">
        <v>0</v>
      </c>
      <c r="W37" s="625">
        <v>0</v>
      </c>
      <c r="X37" s="625">
        <v>0</v>
      </c>
      <c r="Y37" s="625">
        <v>0</v>
      </c>
      <c r="Z37" s="625">
        <v>0</v>
      </c>
      <c r="AA37" s="357"/>
    </row>
    <row r="38" spans="2:27">
      <c r="B38" s="6"/>
      <c r="C38" s="802" t="s">
        <v>513</v>
      </c>
      <c r="D38" s="801">
        <f t="shared" ref="D38:S38" si="23">SUM(D35:D37)</f>
        <v>0</v>
      </c>
      <c r="E38" s="803">
        <f t="shared" si="23"/>
        <v>0</v>
      </c>
      <c r="F38" s="803">
        <f t="shared" si="23"/>
        <v>0</v>
      </c>
      <c r="G38" s="803">
        <f t="shared" si="23"/>
        <v>0</v>
      </c>
      <c r="H38" s="803">
        <f t="shared" si="23"/>
        <v>0</v>
      </c>
      <c r="I38" s="803">
        <f t="shared" si="23"/>
        <v>0</v>
      </c>
      <c r="J38" s="803">
        <f t="shared" si="23"/>
        <v>0</v>
      </c>
      <c r="K38" s="803">
        <f t="shared" si="23"/>
        <v>0</v>
      </c>
      <c r="L38" s="803">
        <f t="shared" si="23"/>
        <v>0</v>
      </c>
      <c r="M38" s="803">
        <f t="shared" si="23"/>
        <v>0</v>
      </c>
      <c r="N38" s="803">
        <f t="shared" si="23"/>
        <v>0</v>
      </c>
      <c r="O38" s="803">
        <f t="shared" si="23"/>
        <v>0</v>
      </c>
      <c r="P38" s="803">
        <f t="shared" si="23"/>
        <v>0</v>
      </c>
      <c r="Q38" s="803">
        <f t="shared" si="23"/>
        <v>0</v>
      </c>
      <c r="R38" s="803">
        <f t="shared" si="23"/>
        <v>0</v>
      </c>
      <c r="S38" s="803">
        <f t="shared" si="23"/>
        <v>0</v>
      </c>
      <c r="T38" s="803">
        <f t="shared" ref="T38:U38" si="24">SUM(T35:T37)</f>
        <v>0</v>
      </c>
      <c r="U38" s="803">
        <f t="shared" si="24"/>
        <v>0</v>
      </c>
      <c r="V38" s="803">
        <f t="shared" ref="V38:W38" si="25">SUM(V35:V37)</f>
        <v>0</v>
      </c>
      <c r="W38" s="803">
        <f t="shared" si="25"/>
        <v>0</v>
      </c>
      <c r="X38" s="803">
        <f t="shared" ref="X38:Y38" si="26">SUM(X35:X37)</f>
        <v>0</v>
      </c>
      <c r="Y38" s="803">
        <f t="shared" si="26"/>
        <v>0</v>
      </c>
      <c r="Z38" s="803">
        <f t="shared" ref="Z38" si="27">SUM(Z35:Z37)</f>
        <v>0</v>
      </c>
      <c r="AA38" s="357"/>
    </row>
    <row r="39" spans="2:27">
      <c r="B39" s="6"/>
      <c r="C39" s="751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57"/>
    </row>
    <row r="40" spans="2:27">
      <c r="B40" s="6"/>
      <c r="C40" s="749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357"/>
    </row>
    <row r="41" spans="2:27">
      <c r="B41" s="6"/>
      <c r="D41" s="625">
        <v>0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625">
        <v>0</v>
      </c>
      <c r="N41" s="625">
        <v>0</v>
      </c>
      <c r="O41" s="625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5">
        <v>0</v>
      </c>
      <c r="Y41" s="625">
        <v>0</v>
      </c>
      <c r="Z41" s="625">
        <v>0</v>
      </c>
      <c r="AA41" s="357"/>
    </row>
    <row r="42" spans="2:27">
      <c r="B42" s="6"/>
      <c r="C42" s="802" t="s">
        <v>515</v>
      </c>
      <c r="D42" s="801">
        <f t="shared" ref="D42:V42" si="28">SUM(D40:D41)</f>
        <v>0</v>
      </c>
      <c r="E42" s="801">
        <f t="shared" si="28"/>
        <v>0</v>
      </c>
      <c r="F42" s="801">
        <f t="shared" si="28"/>
        <v>0</v>
      </c>
      <c r="G42" s="801">
        <f t="shared" si="28"/>
        <v>0</v>
      </c>
      <c r="H42" s="801">
        <f t="shared" si="28"/>
        <v>0</v>
      </c>
      <c r="I42" s="801">
        <f t="shared" si="28"/>
        <v>0</v>
      </c>
      <c r="J42" s="801">
        <f t="shared" si="28"/>
        <v>0</v>
      </c>
      <c r="K42" s="801">
        <f t="shared" si="28"/>
        <v>0</v>
      </c>
      <c r="L42" s="801">
        <f t="shared" si="28"/>
        <v>0</v>
      </c>
      <c r="M42" s="801">
        <f t="shared" si="28"/>
        <v>0</v>
      </c>
      <c r="N42" s="801">
        <f t="shared" si="28"/>
        <v>0</v>
      </c>
      <c r="O42" s="801">
        <f t="shared" si="28"/>
        <v>0</v>
      </c>
      <c r="P42" s="801">
        <f t="shared" si="28"/>
        <v>0</v>
      </c>
      <c r="Q42" s="801">
        <f t="shared" si="28"/>
        <v>0</v>
      </c>
      <c r="R42" s="801">
        <f t="shared" si="28"/>
        <v>0</v>
      </c>
      <c r="S42" s="801">
        <f t="shared" si="28"/>
        <v>0</v>
      </c>
      <c r="T42" s="801">
        <f t="shared" si="28"/>
        <v>0</v>
      </c>
      <c r="U42" s="801">
        <f t="shared" si="28"/>
        <v>0</v>
      </c>
      <c r="V42" s="801">
        <f t="shared" si="28"/>
        <v>0</v>
      </c>
      <c r="W42" s="801">
        <f t="shared" ref="W42:X42" si="29">SUM(W40:W41)</f>
        <v>0</v>
      </c>
      <c r="X42" s="801">
        <f t="shared" si="29"/>
        <v>0</v>
      </c>
      <c r="Y42" s="801">
        <f t="shared" ref="Y42:Z42" si="30">SUM(Y40:Y41)</f>
        <v>0</v>
      </c>
      <c r="Z42" s="801">
        <f t="shared" si="30"/>
        <v>0</v>
      </c>
      <c r="AA42" s="357"/>
    </row>
    <row r="43" spans="2:27">
      <c r="B43" s="6"/>
      <c r="C43" s="751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57"/>
    </row>
    <row r="44" spans="2:27">
      <c r="B44" s="6"/>
      <c r="C44" s="749"/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357"/>
    </row>
    <row r="45" spans="2:27">
      <c r="B45" s="6"/>
      <c r="D45" s="625">
        <v>0</v>
      </c>
      <c r="E45" s="625">
        <v>0</v>
      </c>
      <c r="F45" s="625">
        <v>0</v>
      </c>
      <c r="G45" s="625">
        <v>0</v>
      </c>
      <c r="H45" s="625">
        <v>0</v>
      </c>
      <c r="I45" s="625">
        <v>0</v>
      </c>
      <c r="J45" s="625">
        <v>0</v>
      </c>
      <c r="K45" s="625">
        <v>0</v>
      </c>
      <c r="L45" s="625">
        <v>0</v>
      </c>
      <c r="M45" s="625">
        <v>0</v>
      </c>
      <c r="N45" s="625">
        <v>0</v>
      </c>
      <c r="O45" s="625">
        <v>0</v>
      </c>
      <c r="P45" s="625">
        <v>0</v>
      </c>
      <c r="Q45" s="625">
        <v>0</v>
      </c>
      <c r="R45" s="625">
        <v>0</v>
      </c>
      <c r="S45" s="625">
        <v>0</v>
      </c>
      <c r="T45" s="625">
        <v>0</v>
      </c>
      <c r="U45" s="625">
        <v>0</v>
      </c>
      <c r="V45" s="625">
        <v>0</v>
      </c>
      <c r="W45" s="625">
        <v>0</v>
      </c>
      <c r="X45" s="625">
        <v>0</v>
      </c>
      <c r="Y45" s="625">
        <v>0</v>
      </c>
      <c r="Z45" s="625">
        <v>0</v>
      </c>
      <c r="AA45" s="357"/>
    </row>
    <row r="46" spans="2:27">
      <c r="B46" s="6"/>
      <c r="C46" s="802" t="s">
        <v>517</v>
      </c>
      <c r="D46" s="801">
        <f t="shared" ref="D46:S46" si="31">SUM(D44:D45)</f>
        <v>0</v>
      </c>
      <c r="E46" s="801">
        <f t="shared" si="31"/>
        <v>0</v>
      </c>
      <c r="F46" s="801">
        <f t="shared" si="31"/>
        <v>0</v>
      </c>
      <c r="G46" s="801">
        <f t="shared" si="31"/>
        <v>0</v>
      </c>
      <c r="H46" s="801">
        <f t="shared" si="31"/>
        <v>0</v>
      </c>
      <c r="I46" s="801">
        <f t="shared" si="31"/>
        <v>0</v>
      </c>
      <c r="J46" s="801">
        <f t="shared" si="31"/>
        <v>0</v>
      </c>
      <c r="K46" s="801">
        <f t="shared" si="31"/>
        <v>0</v>
      </c>
      <c r="L46" s="801">
        <f t="shared" si="31"/>
        <v>0</v>
      </c>
      <c r="M46" s="801">
        <f t="shared" si="31"/>
        <v>0</v>
      </c>
      <c r="N46" s="801">
        <f t="shared" si="31"/>
        <v>0</v>
      </c>
      <c r="O46" s="801">
        <f t="shared" si="31"/>
        <v>0</v>
      </c>
      <c r="P46" s="801">
        <f t="shared" si="31"/>
        <v>0</v>
      </c>
      <c r="Q46" s="801">
        <f t="shared" si="31"/>
        <v>0</v>
      </c>
      <c r="R46" s="801">
        <f t="shared" si="31"/>
        <v>0</v>
      </c>
      <c r="S46" s="801">
        <f t="shared" si="31"/>
        <v>0</v>
      </c>
      <c r="T46" s="801">
        <f t="shared" ref="T46:U46" si="32">SUM(T44:T45)</f>
        <v>0</v>
      </c>
      <c r="U46" s="801">
        <f t="shared" si="32"/>
        <v>0</v>
      </c>
      <c r="V46" s="801">
        <f t="shared" ref="V46:W46" si="33">SUM(V44:V45)</f>
        <v>0</v>
      </c>
      <c r="W46" s="801">
        <f t="shared" si="33"/>
        <v>0</v>
      </c>
      <c r="X46" s="801">
        <f t="shared" ref="X46:Y46" si="34">SUM(X44:X45)</f>
        <v>0</v>
      </c>
      <c r="Y46" s="801">
        <f t="shared" si="34"/>
        <v>0</v>
      </c>
      <c r="Z46" s="801">
        <f t="shared" ref="Z46" si="35">SUM(Z44:Z45)</f>
        <v>0</v>
      </c>
      <c r="AA46" s="357"/>
    </row>
    <row r="47" spans="2:27">
      <c r="B47" s="6"/>
      <c r="C47" s="751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57"/>
    </row>
    <row r="48" spans="2:27">
      <c r="B48" s="1033" t="s">
        <v>686</v>
      </c>
      <c r="C48" s="1033"/>
      <c r="D48" s="748">
        <f>+D12+D27+D33+D38+D42+D46</f>
        <v>0</v>
      </c>
      <c r="E48" s="748">
        <f t="shared" ref="E48:V48" si="36">+E12+E27+E33+E38+E42+E46</f>
        <v>0</v>
      </c>
      <c r="F48" s="748">
        <f t="shared" si="36"/>
        <v>0</v>
      </c>
      <c r="G48" s="748">
        <f t="shared" si="36"/>
        <v>0</v>
      </c>
      <c r="H48" s="748">
        <f t="shared" si="36"/>
        <v>0</v>
      </c>
      <c r="I48" s="748">
        <f t="shared" si="36"/>
        <v>0</v>
      </c>
      <c r="J48" s="748">
        <f t="shared" si="36"/>
        <v>0</v>
      </c>
      <c r="K48" s="748">
        <f t="shared" si="36"/>
        <v>0</v>
      </c>
      <c r="L48" s="748">
        <f t="shared" si="36"/>
        <v>0</v>
      </c>
      <c r="M48" s="748">
        <f t="shared" si="36"/>
        <v>0</v>
      </c>
      <c r="N48" s="748">
        <f t="shared" si="36"/>
        <v>0</v>
      </c>
      <c r="O48" s="748">
        <f t="shared" si="36"/>
        <v>0</v>
      </c>
      <c r="P48" s="748">
        <f t="shared" si="36"/>
        <v>0</v>
      </c>
      <c r="Q48" s="748">
        <f t="shared" si="36"/>
        <v>0</v>
      </c>
      <c r="R48" s="748">
        <f t="shared" si="36"/>
        <v>0</v>
      </c>
      <c r="S48" s="748">
        <f t="shared" si="36"/>
        <v>0</v>
      </c>
      <c r="T48" s="748">
        <f t="shared" si="36"/>
        <v>0</v>
      </c>
      <c r="U48" s="748">
        <f t="shared" si="36"/>
        <v>0</v>
      </c>
      <c r="V48" s="748">
        <f t="shared" si="36"/>
        <v>0</v>
      </c>
      <c r="W48" s="748">
        <f t="shared" ref="W48:X48" si="37">+W12+W27+W33+W38+W42+W46</f>
        <v>0</v>
      </c>
      <c r="X48" s="748">
        <f t="shared" si="37"/>
        <v>0</v>
      </c>
      <c r="Y48" s="748">
        <f t="shared" ref="Y48:Z48" si="38">+Y12+Y27+Y33+Y38+Y42+Y46</f>
        <v>0</v>
      </c>
      <c r="Z48" s="748">
        <f t="shared" si="38"/>
        <v>0</v>
      </c>
      <c r="AA48" s="357"/>
    </row>
    <row r="49" spans="2:27">
      <c r="B49" s="6"/>
      <c r="C49" s="749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57"/>
    </row>
    <row r="50" spans="2:27">
      <c r="B50" s="12" t="s">
        <v>687</v>
      </c>
      <c r="C50" s="359" t="s">
        <v>688</v>
      </c>
      <c r="D50" s="208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208">
        <v>0</v>
      </c>
      <c r="X50" s="208">
        <v>0</v>
      </c>
      <c r="Y50" s="208">
        <v>0</v>
      </c>
      <c r="Z50" s="208">
        <v>0</v>
      </c>
      <c r="AA50" s="704"/>
    </row>
    <row r="51" spans="2:27">
      <c r="B51" s="6"/>
      <c r="C51" s="359" t="s">
        <v>689</v>
      </c>
      <c r="D51" s="208">
        <v>0</v>
      </c>
      <c r="E51" s="208"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208">
        <v>0</v>
      </c>
      <c r="X51" s="208">
        <v>0</v>
      </c>
      <c r="Y51" s="208">
        <v>0</v>
      </c>
      <c r="Z51" s="208">
        <v>0</v>
      </c>
      <c r="AA51" s="704"/>
    </row>
    <row r="52" spans="2:27">
      <c r="B52" s="6"/>
      <c r="C52" s="360" t="s">
        <v>690</v>
      </c>
      <c r="D52" s="313">
        <v>0</v>
      </c>
      <c r="E52" s="313">
        <v>0</v>
      </c>
      <c r="F52" s="313">
        <v>0</v>
      </c>
      <c r="G52" s="313">
        <v>0</v>
      </c>
      <c r="H52" s="313">
        <v>0</v>
      </c>
      <c r="I52" s="313">
        <v>0</v>
      </c>
      <c r="J52" s="313">
        <v>0</v>
      </c>
      <c r="K52" s="313">
        <v>0</v>
      </c>
      <c r="L52" s="313">
        <v>0</v>
      </c>
      <c r="M52" s="313">
        <v>0</v>
      </c>
      <c r="N52" s="313">
        <v>0</v>
      </c>
      <c r="O52" s="313">
        <v>0</v>
      </c>
      <c r="P52" s="313">
        <v>0</v>
      </c>
      <c r="Q52" s="313">
        <v>0</v>
      </c>
      <c r="R52" s="313">
        <v>0</v>
      </c>
      <c r="S52" s="313">
        <v>0</v>
      </c>
      <c r="T52" s="313">
        <v>0</v>
      </c>
      <c r="U52" s="313">
        <v>0</v>
      </c>
      <c r="V52" s="313">
        <v>0</v>
      </c>
      <c r="W52" s="313">
        <v>0</v>
      </c>
      <c r="X52" s="313">
        <v>0</v>
      </c>
      <c r="Y52" s="313">
        <v>0</v>
      </c>
      <c r="Z52" s="313">
        <v>0</v>
      </c>
      <c r="AA52" s="704"/>
    </row>
    <row r="53" spans="2:27">
      <c r="B53" s="6"/>
      <c r="C53" s="360" t="s">
        <v>691</v>
      </c>
      <c r="D53" s="313">
        <v>0</v>
      </c>
      <c r="E53" s="313">
        <v>0</v>
      </c>
      <c r="F53" s="313">
        <v>0</v>
      </c>
      <c r="G53" s="313">
        <v>0</v>
      </c>
      <c r="H53" s="313">
        <v>0</v>
      </c>
      <c r="I53" s="313">
        <v>0</v>
      </c>
      <c r="J53" s="313">
        <v>0</v>
      </c>
      <c r="K53" s="313">
        <v>0</v>
      </c>
      <c r="L53" s="313">
        <v>0</v>
      </c>
      <c r="M53" s="313">
        <v>0</v>
      </c>
      <c r="N53" s="313">
        <v>0</v>
      </c>
      <c r="O53" s="313">
        <v>0</v>
      </c>
      <c r="P53" s="313">
        <v>0</v>
      </c>
      <c r="Q53" s="313">
        <v>0</v>
      </c>
      <c r="R53" s="313">
        <v>0</v>
      </c>
      <c r="S53" s="313">
        <v>0</v>
      </c>
      <c r="T53" s="313">
        <v>0</v>
      </c>
      <c r="U53" s="313">
        <v>0</v>
      </c>
      <c r="V53" s="313">
        <v>0</v>
      </c>
      <c r="W53" s="313">
        <v>0</v>
      </c>
      <c r="X53" s="313">
        <v>0</v>
      </c>
      <c r="Y53" s="313">
        <v>0</v>
      </c>
      <c r="Z53" s="313">
        <v>0</v>
      </c>
      <c r="AA53" s="704"/>
    </row>
    <row r="54" spans="2:27">
      <c r="B54" s="6"/>
      <c r="C54" s="360" t="s">
        <v>691</v>
      </c>
      <c r="D54" s="313">
        <v>0</v>
      </c>
      <c r="E54" s="313">
        <v>0</v>
      </c>
      <c r="F54" s="313">
        <v>0</v>
      </c>
      <c r="G54" s="313">
        <v>0</v>
      </c>
      <c r="H54" s="313">
        <v>0</v>
      </c>
      <c r="I54" s="313">
        <v>0</v>
      </c>
      <c r="J54" s="313">
        <v>0</v>
      </c>
      <c r="K54" s="313">
        <v>0</v>
      </c>
      <c r="L54" s="313">
        <v>0</v>
      </c>
      <c r="M54" s="313">
        <v>0</v>
      </c>
      <c r="N54" s="313">
        <v>0</v>
      </c>
      <c r="O54" s="313">
        <v>0</v>
      </c>
      <c r="P54" s="313">
        <v>0</v>
      </c>
      <c r="Q54" s="313">
        <v>0</v>
      </c>
      <c r="R54" s="313">
        <v>0</v>
      </c>
      <c r="S54" s="313">
        <v>0</v>
      </c>
      <c r="T54" s="313">
        <v>0</v>
      </c>
      <c r="U54" s="313">
        <v>0</v>
      </c>
      <c r="V54" s="313">
        <v>0</v>
      </c>
      <c r="W54" s="313">
        <v>0</v>
      </c>
      <c r="X54" s="313">
        <v>0</v>
      </c>
      <c r="Y54" s="313">
        <v>0</v>
      </c>
      <c r="Z54" s="313">
        <v>0</v>
      </c>
      <c r="AA54" s="704"/>
    </row>
    <row r="55" spans="2:27">
      <c r="B55" s="6"/>
      <c r="C55" s="359" t="s">
        <v>692</v>
      </c>
      <c r="D55" s="313">
        <v>0</v>
      </c>
      <c r="E55" s="313">
        <v>0</v>
      </c>
      <c r="F55" s="313">
        <v>0</v>
      </c>
      <c r="G55" s="313">
        <v>0</v>
      </c>
      <c r="H55" s="313">
        <v>0</v>
      </c>
      <c r="I55" s="313">
        <v>0</v>
      </c>
      <c r="J55" s="313">
        <v>0</v>
      </c>
      <c r="K55" s="313">
        <v>0</v>
      </c>
      <c r="L55" s="313">
        <v>0</v>
      </c>
      <c r="M55" s="313">
        <v>0</v>
      </c>
      <c r="N55" s="313">
        <v>0</v>
      </c>
      <c r="O55" s="313">
        <v>0</v>
      </c>
      <c r="P55" s="313">
        <v>0</v>
      </c>
      <c r="Q55" s="313">
        <v>0</v>
      </c>
      <c r="R55" s="313">
        <v>0</v>
      </c>
      <c r="S55" s="313">
        <v>0</v>
      </c>
      <c r="T55" s="313">
        <v>0</v>
      </c>
      <c r="U55" s="313">
        <v>0</v>
      </c>
      <c r="V55" s="313">
        <v>0</v>
      </c>
      <c r="W55" s="313">
        <v>0</v>
      </c>
      <c r="X55" s="313">
        <v>0</v>
      </c>
      <c r="Y55" s="313">
        <v>0</v>
      </c>
      <c r="Z55" s="313">
        <v>0</v>
      </c>
      <c r="AA55" s="704"/>
    </row>
    <row r="56" spans="2:27">
      <c r="B56" s="6"/>
      <c r="C56" s="231" t="s">
        <v>693</v>
      </c>
      <c r="D56" s="313">
        <v>0</v>
      </c>
      <c r="E56" s="313">
        <v>0</v>
      </c>
      <c r="F56" s="313">
        <v>0</v>
      </c>
      <c r="G56" s="313">
        <v>0</v>
      </c>
      <c r="H56" s="313">
        <v>0</v>
      </c>
      <c r="I56" s="313">
        <v>0</v>
      </c>
      <c r="J56" s="313">
        <v>0</v>
      </c>
      <c r="K56" s="313">
        <v>0</v>
      </c>
      <c r="L56" s="313">
        <v>0</v>
      </c>
      <c r="M56" s="313">
        <v>0</v>
      </c>
      <c r="N56" s="313">
        <v>0</v>
      </c>
      <c r="O56" s="313">
        <v>0</v>
      </c>
      <c r="P56" s="313">
        <v>0</v>
      </c>
      <c r="Q56" s="313">
        <v>0</v>
      </c>
      <c r="R56" s="313">
        <v>0</v>
      </c>
      <c r="S56" s="313">
        <v>0</v>
      </c>
      <c r="T56" s="313">
        <v>0</v>
      </c>
      <c r="U56" s="313">
        <v>0</v>
      </c>
      <c r="V56" s="313">
        <v>0</v>
      </c>
      <c r="W56" s="313">
        <v>0</v>
      </c>
      <c r="X56" s="313">
        <v>0</v>
      </c>
      <c r="Y56" s="313">
        <v>0</v>
      </c>
      <c r="Z56" s="313">
        <v>0</v>
      </c>
      <c r="AA56" s="704"/>
    </row>
    <row r="57" spans="2:27">
      <c r="B57" s="6"/>
      <c r="C57" s="231" t="s">
        <v>694</v>
      </c>
      <c r="D57" s="313">
        <v>0</v>
      </c>
      <c r="E57" s="313">
        <v>0</v>
      </c>
      <c r="F57" s="313">
        <v>0</v>
      </c>
      <c r="G57" s="313">
        <v>0</v>
      </c>
      <c r="H57" s="313">
        <v>0</v>
      </c>
      <c r="I57" s="313">
        <v>0</v>
      </c>
      <c r="J57" s="313">
        <v>0</v>
      </c>
      <c r="K57" s="313">
        <v>0</v>
      </c>
      <c r="L57" s="313">
        <v>0</v>
      </c>
      <c r="M57" s="313">
        <v>0</v>
      </c>
      <c r="N57" s="313">
        <v>0</v>
      </c>
      <c r="O57" s="313">
        <v>0</v>
      </c>
      <c r="P57" s="313">
        <v>0</v>
      </c>
      <c r="Q57" s="313">
        <v>0</v>
      </c>
      <c r="R57" s="313">
        <v>0</v>
      </c>
      <c r="S57" s="313">
        <v>0</v>
      </c>
      <c r="T57" s="313">
        <v>0</v>
      </c>
      <c r="U57" s="313">
        <v>0</v>
      </c>
      <c r="V57" s="313">
        <v>0</v>
      </c>
      <c r="W57" s="313">
        <v>0</v>
      </c>
      <c r="X57" s="313">
        <v>0</v>
      </c>
      <c r="Y57" s="313">
        <v>0</v>
      </c>
      <c r="Z57" s="313">
        <v>0</v>
      </c>
      <c r="AA57" s="704"/>
    </row>
    <row r="58" spans="2:27">
      <c r="B58" s="6"/>
      <c r="C58" s="231" t="s">
        <v>695</v>
      </c>
      <c r="D58" s="313">
        <v>0</v>
      </c>
      <c r="E58" s="313">
        <v>0</v>
      </c>
      <c r="F58" s="313">
        <v>0</v>
      </c>
      <c r="G58" s="313">
        <v>0</v>
      </c>
      <c r="H58" s="313">
        <v>0</v>
      </c>
      <c r="I58" s="313">
        <v>0</v>
      </c>
      <c r="J58" s="313">
        <v>0</v>
      </c>
      <c r="K58" s="313">
        <v>0</v>
      </c>
      <c r="L58" s="313">
        <v>0</v>
      </c>
      <c r="M58" s="313">
        <v>0</v>
      </c>
      <c r="N58" s="313">
        <v>0</v>
      </c>
      <c r="O58" s="313">
        <v>0</v>
      </c>
      <c r="P58" s="313">
        <v>0</v>
      </c>
      <c r="Q58" s="313">
        <v>0</v>
      </c>
      <c r="R58" s="313">
        <v>0</v>
      </c>
      <c r="S58" s="313">
        <v>0</v>
      </c>
      <c r="T58" s="313">
        <v>0</v>
      </c>
      <c r="U58" s="313">
        <v>0</v>
      </c>
      <c r="V58" s="313">
        <v>0</v>
      </c>
      <c r="W58" s="313">
        <v>0</v>
      </c>
      <c r="X58" s="313">
        <v>0</v>
      </c>
      <c r="Y58" s="313">
        <v>0</v>
      </c>
      <c r="Z58" s="313">
        <v>0</v>
      </c>
      <c r="AA58" s="704"/>
    </row>
    <row r="59" spans="2:27">
      <c r="B59" s="6"/>
      <c r="C59" s="752" t="s">
        <v>426</v>
      </c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0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0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704"/>
    </row>
    <row r="60" spans="2:27">
      <c r="B60" s="706" t="s">
        <v>696</v>
      </c>
      <c r="C60" s="753"/>
      <c r="D60" s="313">
        <f>SUM(D50:D59)</f>
        <v>0</v>
      </c>
      <c r="E60" s="313">
        <f t="shared" ref="E60:S60" si="39">SUM(E50:E59)</f>
        <v>0</v>
      </c>
      <c r="F60" s="313">
        <f t="shared" si="39"/>
        <v>0</v>
      </c>
      <c r="G60" s="313">
        <f t="shared" si="39"/>
        <v>0</v>
      </c>
      <c r="H60" s="313">
        <f t="shared" si="39"/>
        <v>0</v>
      </c>
      <c r="I60" s="313">
        <f t="shared" si="39"/>
        <v>0</v>
      </c>
      <c r="J60" s="313">
        <f t="shared" si="39"/>
        <v>0</v>
      </c>
      <c r="K60" s="313">
        <f t="shared" si="39"/>
        <v>0</v>
      </c>
      <c r="L60" s="313">
        <f t="shared" si="39"/>
        <v>0</v>
      </c>
      <c r="M60" s="313">
        <f t="shared" si="39"/>
        <v>0</v>
      </c>
      <c r="N60" s="313">
        <f t="shared" si="39"/>
        <v>0</v>
      </c>
      <c r="O60" s="313">
        <f t="shared" si="39"/>
        <v>0</v>
      </c>
      <c r="P60" s="313">
        <f t="shared" si="39"/>
        <v>0</v>
      </c>
      <c r="Q60" s="313">
        <f t="shared" si="39"/>
        <v>0</v>
      </c>
      <c r="R60" s="313">
        <f t="shared" si="39"/>
        <v>0</v>
      </c>
      <c r="S60" s="313">
        <f t="shared" si="39"/>
        <v>0</v>
      </c>
      <c r="T60" s="313">
        <f t="shared" ref="T60:V60" si="40">SUM(T50:T59)</f>
        <v>0</v>
      </c>
      <c r="U60" s="313">
        <f t="shared" si="40"/>
        <v>0</v>
      </c>
      <c r="V60" s="313">
        <f t="shared" si="40"/>
        <v>0</v>
      </c>
      <c r="W60" s="313">
        <f t="shared" ref="W60:X60" si="41">SUM(W50:W59)</f>
        <v>0</v>
      </c>
      <c r="X60" s="313">
        <f t="shared" si="41"/>
        <v>0</v>
      </c>
      <c r="Y60" s="313">
        <f t="shared" ref="Y60:Z60" si="42">SUM(Y50:Y59)</f>
        <v>0</v>
      </c>
      <c r="Z60" s="313">
        <f t="shared" si="42"/>
        <v>0</v>
      </c>
      <c r="AA60" s="704"/>
    </row>
    <row r="61" spans="2:27">
      <c r="B61" s="258" t="s">
        <v>697</v>
      </c>
      <c r="D61" s="24">
        <f>+D60-D48</f>
        <v>0</v>
      </c>
      <c r="E61" s="24">
        <f t="shared" ref="E61:V61" si="43">+E60-E48</f>
        <v>0</v>
      </c>
      <c r="F61" s="24">
        <f t="shared" si="43"/>
        <v>0</v>
      </c>
      <c r="G61" s="24">
        <f t="shared" si="43"/>
        <v>0</v>
      </c>
      <c r="H61" s="24">
        <f t="shared" si="43"/>
        <v>0</v>
      </c>
      <c r="I61" s="24">
        <f t="shared" si="43"/>
        <v>0</v>
      </c>
      <c r="J61" s="24">
        <f t="shared" si="43"/>
        <v>0</v>
      </c>
      <c r="K61" s="24">
        <f t="shared" si="43"/>
        <v>0</v>
      </c>
      <c r="L61" s="24">
        <f t="shared" si="43"/>
        <v>0</v>
      </c>
      <c r="M61" s="24">
        <f t="shared" si="43"/>
        <v>0</v>
      </c>
      <c r="N61" s="24">
        <f t="shared" si="43"/>
        <v>0</v>
      </c>
      <c r="O61" s="24">
        <f t="shared" si="43"/>
        <v>0</v>
      </c>
      <c r="P61" s="24">
        <f t="shared" si="43"/>
        <v>0</v>
      </c>
      <c r="Q61" s="24">
        <f t="shared" si="43"/>
        <v>0</v>
      </c>
      <c r="R61" s="24">
        <f t="shared" si="43"/>
        <v>0</v>
      </c>
      <c r="S61" s="24">
        <f t="shared" si="43"/>
        <v>0</v>
      </c>
      <c r="T61" s="24">
        <f t="shared" si="43"/>
        <v>0</v>
      </c>
      <c r="U61" s="24">
        <f t="shared" si="43"/>
        <v>0</v>
      </c>
      <c r="V61" s="24">
        <f t="shared" si="43"/>
        <v>0</v>
      </c>
      <c r="W61" s="24">
        <f t="shared" ref="W61:X61" si="44">+W60-W48</f>
        <v>0</v>
      </c>
      <c r="X61" s="24">
        <f t="shared" si="44"/>
        <v>0</v>
      </c>
      <c r="Y61" s="24">
        <f t="shared" ref="Y61:Z61" si="45">+Y60-Y48</f>
        <v>0</v>
      </c>
      <c r="Z61" s="24">
        <f t="shared" si="45"/>
        <v>0</v>
      </c>
      <c r="AA61" s="704"/>
    </row>
    <row r="62" spans="2:27">
      <c r="B62" s="6"/>
      <c r="C62" s="749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57"/>
    </row>
    <row r="63" spans="2:27">
      <c r="B63" s="6"/>
      <c r="C63" s="749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57"/>
    </row>
    <row r="64" spans="2:27">
      <c r="B64" s="191" t="s">
        <v>698</v>
      </c>
      <c r="C64" s="749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57"/>
    </row>
    <row r="65" spans="2:27">
      <c r="B65" s="6"/>
      <c r="C65" s="749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5">
        <v>0</v>
      </c>
      <c r="M65" s="625">
        <v>0</v>
      </c>
      <c r="N65" s="625">
        <v>0</v>
      </c>
      <c r="O65" s="625">
        <v>0</v>
      </c>
      <c r="P65" s="625">
        <v>0</v>
      </c>
      <c r="Q65" s="625">
        <v>0</v>
      </c>
      <c r="R65" s="625">
        <v>0</v>
      </c>
      <c r="S65" s="625">
        <v>0</v>
      </c>
      <c r="T65" s="625">
        <v>0</v>
      </c>
      <c r="U65" s="625">
        <v>0</v>
      </c>
      <c r="V65" s="625">
        <v>0</v>
      </c>
      <c r="W65" s="625">
        <v>0</v>
      </c>
      <c r="X65" s="625">
        <v>0</v>
      </c>
      <c r="Y65" s="625">
        <v>0</v>
      </c>
      <c r="Z65" s="625">
        <v>0</v>
      </c>
      <c r="AA65" s="357"/>
    </row>
    <row r="66" spans="2:27">
      <c r="B66" s="6"/>
      <c r="C66" s="371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625">
        <v>0</v>
      </c>
      <c r="N66" s="625">
        <v>0</v>
      </c>
      <c r="O66" s="625">
        <v>0</v>
      </c>
      <c r="P66" s="625">
        <v>0</v>
      </c>
      <c r="Q66" s="625">
        <v>0</v>
      </c>
      <c r="R66" s="625">
        <v>0</v>
      </c>
      <c r="S66" s="625">
        <v>0</v>
      </c>
      <c r="T66" s="625">
        <v>0</v>
      </c>
      <c r="U66" s="625">
        <v>0</v>
      </c>
      <c r="V66" s="625">
        <v>0</v>
      </c>
      <c r="W66" s="625">
        <v>0</v>
      </c>
      <c r="X66" s="625">
        <v>0</v>
      </c>
      <c r="Y66" s="625">
        <v>0</v>
      </c>
      <c r="Z66" s="625">
        <v>0</v>
      </c>
      <c r="AA66" s="357"/>
    </row>
    <row r="67" spans="2:27">
      <c r="B67" s="6"/>
      <c r="C67" s="749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</v>
      </c>
      <c r="M67" s="625">
        <v>0</v>
      </c>
      <c r="N67" s="625">
        <v>0</v>
      </c>
      <c r="O67" s="625">
        <v>0</v>
      </c>
      <c r="P67" s="625">
        <v>0</v>
      </c>
      <c r="Q67" s="625">
        <v>0</v>
      </c>
      <c r="R67" s="625">
        <v>0</v>
      </c>
      <c r="S67" s="625">
        <v>0</v>
      </c>
      <c r="T67" s="625">
        <v>0</v>
      </c>
      <c r="U67" s="625">
        <v>0</v>
      </c>
      <c r="V67" s="625">
        <v>0</v>
      </c>
      <c r="W67" s="625">
        <v>0</v>
      </c>
      <c r="X67" s="625">
        <v>0</v>
      </c>
      <c r="Y67" s="625">
        <v>0</v>
      </c>
      <c r="Z67" s="625">
        <v>0</v>
      </c>
      <c r="AA67" s="357"/>
    </row>
    <row r="68" spans="2:27">
      <c r="B68" s="6"/>
      <c r="C68" s="802" t="s">
        <v>699</v>
      </c>
      <c r="D68" s="801">
        <f>SUM(D65:D67)</f>
        <v>0</v>
      </c>
      <c r="E68" s="801">
        <f t="shared" ref="E68:V68" si="46">SUM(E65:E67)</f>
        <v>0</v>
      </c>
      <c r="F68" s="801">
        <f t="shared" si="46"/>
        <v>0</v>
      </c>
      <c r="G68" s="801">
        <f t="shared" si="46"/>
        <v>0</v>
      </c>
      <c r="H68" s="801">
        <f t="shared" si="46"/>
        <v>0</v>
      </c>
      <c r="I68" s="801">
        <f t="shared" si="46"/>
        <v>0</v>
      </c>
      <c r="J68" s="801">
        <f t="shared" si="46"/>
        <v>0</v>
      </c>
      <c r="K68" s="801">
        <f t="shared" si="46"/>
        <v>0</v>
      </c>
      <c r="L68" s="801">
        <f t="shared" si="46"/>
        <v>0</v>
      </c>
      <c r="M68" s="801">
        <f t="shared" si="46"/>
        <v>0</v>
      </c>
      <c r="N68" s="801">
        <f t="shared" si="46"/>
        <v>0</v>
      </c>
      <c r="O68" s="801">
        <f t="shared" si="46"/>
        <v>0</v>
      </c>
      <c r="P68" s="801">
        <f t="shared" si="46"/>
        <v>0</v>
      </c>
      <c r="Q68" s="801">
        <f t="shared" si="46"/>
        <v>0</v>
      </c>
      <c r="R68" s="801">
        <f t="shared" si="46"/>
        <v>0</v>
      </c>
      <c r="S68" s="801">
        <f t="shared" si="46"/>
        <v>0</v>
      </c>
      <c r="T68" s="801">
        <f t="shared" si="46"/>
        <v>0</v>
      </c>
      <c r="U68" s="801">
        <f t="shared" si="46"/>
        <v>0</v>
      </c>
      <c r="V68" s="801">
        <f t="shared" si="46"/>
        <v>0</v>
      </c>
      <c r="W68" s="801">
        <f t="shared" ref="W68:X68" si="47">SUM(W65:W67)</f>
        <v>0</v>
      </c>
      <c r="X68" s="801">
        <f t="shared" si="47"/>
        <v>0</v>
      </c>
      <c r="Y68" s="801">
        <f t="shared" ref="Y68:Z68" si="48">SUM(Y65:Y67)</f>
        <v>0</v>
      </c>
      <c r="Z68" s="801">
        <f t="shared" si="48"/>
        <v>0</v>
      </c>
      <c r="AA68" s="357"/>
    </row>
    <row r="69" spans="2:27">
      <c r="B69" s="191" t="s">
        <v>698</v>
      </c>
      <c r="C69" s="749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57"/>
    </row>
    <row r="70" spans="2:27">
      <c r="B70" s="6"/>
      <c r="C70" s="749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5">
        <v>0</v>
      </c>
      <c r="N70" s="625">
        <v>0</v>
      </c>
      <c r="O70" s="625">
        <v>0</v>
      </c>
      <c r="P70" s="625">
        <v>0</v>
      </c>
      <c r="Q70" s="625">
        <v>0</v>
      </c>
      <c r="R70" s="625">
        <v>0</v>
      </c>
      <c r="S70" s="625">
        <v>0</v>
      </c>
      <c r="T70" s="625">
        <v>0</v>
      </c>
      <c r="U70" s="625">
        <v>0</v>
      </c>
      <c r="V70" s="625">
        <v>0</v>
      </c>
      <c r="W70" s="625">
        <v>0</v>
      </c>
      <c r="X70" s="625">
        <v>0</v>
      </c>
      <c r="Y70" s="625">
        <v>0</v>
      </c>
      <c r="Z70" s="625">
        <v>0</v>
      </c>
      <c r="AA70" s="357"/>
    </row>
    <row r="71" spans="2:27">
      <c r="B71" s="6"/>
      <c r="C71" s="371"/>
      <c r="D71" s="625">
        <v>0</v>
      </c>
      <c r="E71" s="625">
        <v>0</v>
      </c>
      <c r="F71" s="625">
        <v>0</v>
      </c>
      <c r="G71" s="625">
        <v>0</v>
      </c>
      <c r="H71" s="625">
        <v>0</v>
      </c>
      <c r="I71" s="625">
        <v>0</v>
      </c>
      <c r="J71" s="625">
        <v>0</v>
      </c>
      <c r="K71" s="625">
        <v>0</v>
      </c>
      <c r="L71" s="625">
        <v>0</v>
      </c>
      <c r="M71" s="625">
        <v>0</v>
      </c>
      <c r="N71" s="625">
        <v>0</v>
      </c>
      <c r="O71" s="625">
        <v>0</v>
      </c>
      <c r="P71" s="625">
        <v>0</v>
      </c>
      <c r="Q71" s="625">
        <v>0</v>
      </c>
      <c r="R71" s="625">
        <v>0</v>
      </c>
      <c r="S71" s="625">
        <v>0</v>
      </c>
      <c r="T71" s="625">
        <v>0</v>
      </c>
      <c r="U71" s="625">
        <v>0</v>
      </c>
      <c r="V71" s="625">
        <v>0</v>
      </c>
      <c r="W71" s="625">
        <v>0</v>
      </c>
      <c r="X71" s="625">
        <v>0</v>
      </c>
      <c r="Y71" s="625">
        <v>0</v>
      </c>
      <c r="Z71" s="625">
        <v>0</v>
      </c>
      <c r="AA71" s="357"/>
    </row>
    <row r="72" spans="2:27">
      <c r="B72" s="6"/>
      <c r="C72" s="749"/>
      <c r="D72" s="625">
        <v>0</v>
      </c>
      <c r="E72" s="625">
        <v>0</v>
      </c>
      <c r="F72" s="625">
        <v>0</v>
      </c>
      <c r="G72" s="625">
        <v>0</v>
      </c>
      <c r="H72" s="625">
        <v>0</v>
      </c>
      <c r="I72" s="625">
        <v>0</v>
      </c>
      <c r="J72" s="625">
        <v>0</v>
      </c>
      <c r="K72" s="625">
        <v>0</v>
      </c>
      <c r="L72" s="625">
        <v>0</v>
      </c>
      <c r="M72" s="625">
        <v>0</v>
      </c>
      <c r="N72" s="625">
        <v>0</v>
      </c>
      <c r="O72" s="625">
        <v>0</v>
      </c>
      <c r="P72" s="625">
        <v>0</v>
      </c>
      <c r="Q72" s="625">
        <v>0</v>
      </c>
      <c r="R72" s="625">
        <v>0</v>
      </c>
      <c r="S72" s="625">
        <v>0</v>
      </c>
      <c r="T72" s="625">
        <v>0</v>
      </c>
      <c r="U72" s="625">
        <v>0</v>
      </c>
      <c r="V72" s="625">
        <v>0</v>
      </c>
      <c r="W72" s="625">
        <v>0</v>
      </c>
      <c r="X72" s="625">
        <v>0</v>
      </c>
      <c r="Y72" s="625">
        <v>0</v>
      </c>
      <c r="Z72" s="625">
        <v>0</v>
      </c>
      <c r="AA72" s="357"/>
    </row>
    <row r="73" spans="2:27">
      <c r="B73" s="6"/>
      <c r="C73" s="802" t="s">
        <v>699</v>
      </c>
      <c r="D73" s="801">
        <f t="shared" ref="D73" si="49">SUM(D70:D72)</f>
        <v>0</v>
      </c>
      <c r="E73" s="801">
        <f t="shared" ref="E73:V73" si="50">SUM(E70:E72)</f>
        <v>0</v>
      </c>
      <c r="F73" s="801">
        <f t="shared" si="50"/>
        <v>0</v>
      </c>
      <c r="G73" s="801">
        <f t="shared" si="50"/>
        <v>0</v>
      </c>
      <c r="H73" s="801">
        <f t="shared" si="50"/>
        <v>0</v>
      </c>
      <c r="I73" s="801">
        <f t="shared" si="50"/>
        <v>0</v>
      </c>
      <c r="J73" s="801">
        <f t="shared" si="50"/>
        <v>0</v>
      </c>
      <c r="K73" s="801">
        <f t="shared" si="50"/>
        <v>0</v>
      </c>
      <c r="L73" s="801">
        <f t="shared" si="50"/>
        <v>0</v>
      </c>
      <c r="M73" s="801">
        <f t="shared" si="50"/>
        <v>0</v>
      </c>
      <c r="N73" s="801">
        <f t="shared" si="50"/>
        <v>0</v>
      </c>
      <c r="O73" s="801">
        <f t="shared" si="50"/>
        <v>0</v>
      </c>
      <c r="P73" s="801">
        <f t="shared" si="50"/>
        <v>0</v>
      </c>
      <c r="Q73" s="801">
        <f t="shared" si="50"/>
        <v>0</v>
      </c>
      <c r="R73" s="801">
        <f t="shared" si="50"/>
        <v>0</v>
      </c>
      <c r="S73" s="801">
        <f t="shared" si="50"/>
        <v>0</v>
      </c>
      <c r="T73" s="801">
        <f t="shared" si="50"/>
        <v>0</v>
      </c>
      <c r="U73" s="801">
        <f t="shared" si="50"/>
        <v>0</v>
      </c>
      <c r="V73" s="801">
        <f t="shared" si="50"/>
        <v>0</v>
      </c>
      <c r="W73" s="801">
        <f t="shared" ref="W73:X73" si="51">SUM(W70:W72)</f>
        <v>0</v>
      </c>
      <c r="X73" s="801">
        <f t="shared" si="51"/>
        <v>0</v>
      </c>
      <c r="Y73" s="801">
        <f t="shared" ref="Y73:Z73" si="52">SUM(Y70:Y72)</f>
        <v>0</v>
      </c>
      <c r="Z73" s="801">
        <f t="shared" si="52"/>
        <v>0</v>
      </c>
      <c r="AA73" s="357"/>
    </row>
    <row r="74" spans="2:27">
      <c r="B74" s="1035" t="s">
        <v>700</v>
      </c>
      <c r="C74" s="1035"/>
      <c r="D74" s="627">
        <f>+D68+D73</f>
        <v>0</v>
      </c>
      <c r="E74" s="627">
        <f t="shared" ref="E74:V74" si="53">+E68+E73</f>
        <v>0</v>
      </c>
      <c r="F74" s="627">
        <f t="shared" si="53"/>
        <v>0</v>
      </c>
      <c r="G74" s="627">
        <f t="shared" si="53"/>
        <v>0</v>
      </c>
      <c r="H74" s="627">
        <f t="shared" si="53"/>
        <v>0</v>
      </c>
      <c r="I74" s="627">
        <f t="shared" si="53"/>
        <v>0</v>
      </c>
      <c r="J74" s="627">
        <f t="shared" si="53"/>
        <v>0</v>
      </c>
      <c r="K74" s="627">
        <f t="shared" si="53"/>
        <v>0</v>
      </c>
      <c r="L74" s="627">
        <f t="shared" si="53"/>
        <v>0</v>
      </c>
      <c r="M74" s="627">
        <f t="shared" si="53"/>
        <v>0</v>
      </c>
      <c r="N74" s="627">
        <f t="shared" si="53"/>
        <v>0</v>
      </c>
      <c r="O74" s="627">
        <f t="shared" si="53"/>
        <v>0</v>
      </c>
      <c r="P74" s="627">
        <f t="shared" si="53"/>
        <v>0</v>
      </c>
      <c r="Q74" s="627">
        <f t="shared" si="53"/>
        <v>0</v>
      </c>
      <c r="R74" s="627">
        <f t="shared" si="53"/>
        <v>0</v>
      </c>
      <c r="S74" s="627">
        <f t="shared" si="53"/>
        <v>0</v>
      </c>
      <c r="T74" s="627">
        <f t="shared" si="53"/>
        <v>0</v>
      </c>
      <c r="U74" s="627">
        <f t="shared" si="53"/>
        <v>0</v>
      </c>
      <c r="V74" s="627">
        <f t="shared" si="53"/>
        <v>0</v>
      </c>
      <c r="W74" s="627">
        <f t="shared" ref="W74:X74" si="54">+W68+W73</f>
        <v>0</v>
      </c>
      <c r="X74" s="627">
        <f t="shared" si="54"/>
        <v>0</v>
      </c>
      <c r="Y74" s="627">
        <f t="shared" ref="Y74:Z74" si="55">+Y68+Y73</f>
        <v>0</v>
      </c>
      <c r="Z74" s="627">
        <f t="shared" si="55"/>
        <v>0</v>
      </c>
      <c r="AA74" s="357"/>
    </row>
    <row r="75" spans="2:27">
      <c r="B75" s="6"/>
      <c r="C75" s="749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57"/>
    </row>
    <row r="76" spans="2:27">
      <c r="B76" s="12" t="s">
        <v>687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</row>
    <row r="77" spans="2:27">
      <c r="B77" s="12"/>
      <c r="C77" s="359" t="s">
        <v>701</v>
      </c>
      <c r="D77" s="208">
        <v>0</v>
      </c>
      <c r="E77" s="208">
        <v>0</v>
      </c>
      <c r="F77" s="208">
        <v>0</v>
      </c>
      <c r="G77" s="208">
        <v>0</v>
      </c>
      <c r="H77" s="208">
        <v>0</v>
      </c>
      <c r="I77" s="208">
        <v>0</v>
      </c>
      <c r="J77" s="208">
        <v>0</v>
      </c>
      <c r="K77" s="208">
        <v>0</v>
      </c>
      <c r="L77" s="208">
        <v>0</v>
      </c>
      <c r="M77" s="208">
        <v>0</v>
      </c>
      <c r="N77" s="208">
        <v>0</v>
      </c>
      <c r="O77" s="208">
        <v>0</v>
      </c>
      <c r="P77" s="208">
        <v>0</v>
      </c>
      <c r="Q77" s="208">
        <v>0</v>
      </c>
      <c r="R77" s="208">
        <v>0</v>
      </c>
      <c r="S77" s="208">
        <v>0</v>
      </c>
      <c r="T77" s="208">
        <v>0</v>
      </c>
      <c r="U77" s="208">
        <v>0</v>
      </c>
      <c r="V77" s="208">
        <v>0</v>
      </c>
      <c r="W77" s="208">
        <v>0</v>
      </c>
      <c r="X77" s="208">
        <v>0</v>
      </c>
      <c r="Y77" s="208">
        <v>0</v>
      </c>
      <c r="Z77" s="208">
        <v>0</v>
      </c>
      <c r="AA77" s="704"/>
    </row>
    <row r="78" spans="2:27">
      <c r="B78" s="12"/>
      <c r="C78" s="359" t="s">
        <v>701</v>
      </c>
      <c r="D78" s="208">
        <v>0</v>
      </c>
      <c r="E78" s="208">
        <v>0</v>
      </c>
      <c r="F78" s="208">
        <v>0</v>
      </c>
      <c r="G78" s="208">
        <v>0</v>
      </c>
      <c r="H78" s="208">
        <v>0</v>
      </c>
      <c r="I78" s="208">
        <v>0</v>
      </c>
      <c r="J78" s="208">
        <v>0</v>
      </c>
      <c r="K78" s="208">
        <v>0</v>
      </c>
      <c r="L78" s="208">
        <v>0</v>
      </c>
      <c r="M78" s="208">
        <v>0</v>
      </c>
      <c r="N78" s="208">
        <v>0</v>
      </c>
      <c r="O78" s="208">
        <v>0</v>
      </c>
      <c r="P78" s="208">
        <v>0</v>
      </c>
      <c r="Q78" s="208">
        <v>0</v>
      </c>
      <c r="R78" s="208">
        <v>0</v>
      </c>
      <c r="S78" s="208">
        <v>0</v>
      </c>
      <c r="T78" s="208">
        <v>0</v>
      </c>
      <c r="U78" s="208">
        <v>0</v>
      </c>
      <c r="V78" s="208">
        <v>0</v>
      </c>
      <c r="W78" s="208">
        <v>0</v>
      </c>
      <c r="X78" s="208">
        <v>0</v>
      </c>
      <c r="Y78" s="208">
        <v>0</v>
      </c>
      <c r="Z78" s="208">
        <v>0</v>
      </c>
      <c r="AA78" s="704"/>
    </row>
    <row r="79" spans="2:27">
      <c r="B79" s="12"/>
      <c r="C79" s="231" t="s">
        <v>693</v>
      </c>
      <c r="D79" s="208">
        <v>0</v>
      </c>
      <c r="E79" s="208">
        <v>0</v>
      </c>
      <c r="F79" s="208">
        <v>0</v>
      </c>
      <c r="G79" s="208">
        <v>0</v>
      </c>
      <c r="H79" s="208">
        <v>0</v>
      </c>
      <c r="I79" s="208">
        <v>0</v>
      </c>
      <c r="J79" s="208">
        <v>0</v>
      </c>
      <c r="K79" s="208">
        <v>0</v>
      </c>
      <c r="L79" s="208">
        <v>0</v>
      </c>
      <c r="M79" s="208">
        <v>0</v>
      </c>
      <c r="N79" s="208">
        <v>0</v>
      </c>
      <c r="O79" s="208">
        <v>0</v>
      </c>
      <c r="P79" s="208">
        <v>0</v>
      </c>
      <c r="Q79" s="208">
        <v>0</v>
      </c>
      <c r="R79" s="208">
        <v>0</v>
      </c>
      <c r="S79" s="208">
        <v>0</v>
      </c>
      <c r="T79" s="208">
        <v>0</v>
      </c>
      <c r="U79" s="208">
        <v>0</v>
      </c>
      <c r="V79" s="208">
        <v>0</v>
      </c>
      <c r="W79" s="208">
        <v>0</v>
      </c>
      <c r="X79" s="208">
        <v>0</v>
      </c>
      <c r="Y79" s="208">
        <v>0</v>
      </c>
      <c r="Z79" s="208">
        <v>0</v>
      </c>
      <c r="AA79" s="704"/>
    </row>
    <row r="80" spans="2:27">
      <c r="B80" s="12"/>
      <c r="C80" s="231" t="s">
        <v>694</v>
      </c>
      <c r="D80" s="208">
        <v>0</v>
      </c>
      <c r="E80" s="208">
        <v>0</v>
      </c>
      <c r="F80" s="208">
        <v>0</v>
      </c>
      <c r="G80" s="208">
        <v>0</v>
      </c>
      <c r="H80" s="208">
        <v>0</v>
      </c>
      <c r="I80" s="208">
        <v>0</v>
      </c>
      <c r="J80" s="208">
        <v>0</v>
      </c>
      <c r="K80" s="208">
        <v>0</v>
      </c>
      <c r="L80" s="208">
        <v>0</v>
      </c>
      <c r="M80" s="208">
        <v>0</v>
      </c>
      <c r="N80" s="208">
        <v>0</v>
      </c>
      <c r="O80" s="208">
        <v>0</v>
      </c>
      <c r="P80" s="208">
        <v>0</v>
      </c>
      <c r="Q80" s="208">
        <v>0</v>
      </c>
      <c r="R80" s="208">
        <v>0</v>
      </c>
      <c r="S80" s="208">
        <v>0</v>
      </c>
      <c r="T80" s="208">
        <v>0</v>
      </c>
      <c r="U80" s="208">
        <v>0</v>
      </c>
      <c r="V80" s="208">
        <v>0</v>
      </c>
      <c r="W80" s="208">
        <v>0</v>
      </c>
      <c r="X80" s="208">
        <v>0</v>
      </c>
      <c r="Y80" s="208">
        <v>0</v>
      </c>
      <c r="Z80" s="208">
        <v>0</v>
      </c>
      <c r="AA80" s="704"/>
    </row>
    <row r="81" spans="2:27">
      <c r="B81" s="12"/>
      <c r="C81" s="231" t="s">
        <v>695</v>
      </c>
      <c r="D81" s="208">
        <v>0</v>
      </c>
      <c r="E81" s="208">
        <v>0</v>
      </c>
      <c r="F81" s="208">
        <v>0</v>
      </c>
      <c r="G81" s="208">
        <v>0</v>
      </c>
      <c r="H81" s="208">
        <v>0</v>
      </c>
      <c r="I81" s="208">
        <v>0</v>
      </c>
      <c r="J81" s="208">
        <v>0</v>
      </c>
      <c r="K81" s="208">
        <v>0</v>
      </c>
      <c r="L81" s="208">
        <v>0</v>
      </c>
      <c r="M81" s="208">
        <v>0</v>
      </c>
      <c r="N81" s="208">
        <v>0</v>
      </c>
      <c r="O81" s="208">
        <v>0</v>
      </c>
      <c r="P81" s="208">
        <v>0</v>
      </c>
      <c r="Q81" s="208">
        <v>0</v>
      </c>
      <c r="R81" s="208">
        <v>0</v>
      </c>
      <c r="S81" s="208">
        <v>0</v>
      </c>
      <c r="T81" s="208">
        <v>0</v>
      </c>
      <c r="U81" s="208">
        <v>0</v>
      </c>
      <c r="V81" s="208">
        <v>0</v>
      </c>
      <c r="W81" s="208">
        <v>0</v>
      </c>
      <c r="X81" s="208">
        <v>0</v>
      </c>
      <c r="Y81" s="208">
        <v>0</v>
      </c>
      <c r="Z81" s="208">
        <v>0</v>
      </c>
      <c r="AA81" s="704"/>
    </row>
    <row r="82" spans="2:27">
      <c r="B82" s="12"/>
      <c r="C82" s="752" t="s">
        <v>426</v>
      </c>
      <c r="D82" s="754">
        <v>0</v>
      </c>
      <c r="E82" s="754">
        <v>0</v>
      </c>
      <c r="F82" s="754">
        <v>0</v>
      </c>
      <c r="G82" s="754">
        <v>0</v>
      </c>
      <c r="H82" s="754">
        <v>0</v>
      </c>
      <c r="I82" s="754">
        <v>0</v>
      </c>
      <c r="J82" s="754">
        <v>0</v>
      </c>
      <c r="K82" s="754">
        <v>0</v>
      </c>
      <c r="L82" s="754">
        <v>0</v>
      </c>
      <c r="M82" s="754">
        <v>0</v>
      </c>
      <c r="N82" s="754">
        <v>0</v>
      </c>
      <c r="O82" s="754">
        <v>0</v>
      </c>
      <c r="P82" s="754">
        <v>0</v>
      </c>
      <c r="Q82" s="754">
        <v>0</v>
      </c>
      <c r="R82" s="754">
        <v>0</v>
      </c>
      <c r="S82" s="754">
        <v>0</v>
      </c>
      <c r="T82" s="754">
        <v>0</v>
      </c>
      <c r="U82" s="754">
        <v>0</v>
      </c>
      <c r="V82" s="754">
        <v>0</v>
      </c>
      <c r="W82" s="754">
        <v>0</v>
      </c>
      <c r="X82" s="754">
        <v>0</v>
      </c>
      <c r="Y82" s="754">
        <v>0</v>
      </c>
      <c r="Z82" s="754">
        <v>0</v>
      </c>
      <c r="AA82" s="704"/>
    </row>
    <row r="83" spans="2:27">
      <c r="B83" s="706" t="s">
        <v>696</v>
      </c>
      <c r="C83" s="359"/>
      <c r="D83" s="208">
        <f>SUM(D77:D82)</f>
        <v>0</v>
      </c>
      <c r="E83" s="208">
        <f t="shared" ref="E83:V83" si="56">SUM(E77:E82)</f>
        <v>0</v>
      </c>
      <c r="F83" s="208">
        <f t="shared" si="56"/>
        <v>0</v>
      </c>
      <c r="G83" s="208">
        <f t="shared" si="56"/>
        <v>0</v>
      </c>
      <c r="H83" s="208">
        <f t="shared" si="56"/>
        <v>0</v>
      </c>
      <c r="I83" s="208">
        <f t="shared" si="56"/>
        <v>0</v>
      </c>
      <c r="J83" s="208">
        <f t="shared" si="56"/>
        <v>0</v>
      </c>
      <c r="K83" s="208">
        <f t="shared" si="56"/>
        <v>0</v>
      </c>
      <c r="L83" s="208">
        <f t="shared" si="56"/>
        <v>0</v>
      </c>
      <c r="M83" s="208">
        <f t="shared" si="56"/>
        <v>0</v>
      </c>
      <c r="N83" s="208">
        <f t="shared" si="56"/>
        <v>0</v>
      </c>
      <c r="O83" s="208">
        <f t="shared" si="56"/>
        <v>0</v>
      </c>
      <c r="P83" s="208">
        <f t="shared" si="56"/>
        <v>0</v>
      </c>
      <c r="Q83" s="208">
        <f t="shared" si="56"/>
        <v>0</v>
      </c>
      <c r="R83" s="208">
        <f t="shared" si="56"/>
        <v>0</v>
      </c>
      <c r="S83" s="208">
        <f t="shared" si="56"/>
        <v>0</v>
      </c>
      <c r="T83" s="208">
        <f t="shared" si="56"/>
        <v>0</v>
      </c>
      <c r="U83" s="208">
        <f t="shared" si="56"/>
        <v>0</v>
      </c>
      <c r="V83" s="208">
        <f t="shared" si="56"/>
        <v>0</v>
      </c>
      <c r="W83" s="208">
        <f t="shared" ref="W83:X83" si="57">SUM(W77:W82)</f>
        <v>0</v>
      </c>
      <c r="X83" s="208">
        <f t="shared" si="57"/>
        <v>0</v>
      </c>
      <c r="Y83" s="208">
        <f t="shared" ref="Y83:Z83" si="58">SUM(Y77:Y82)</f>
        <v>0</v>
      </c>
      <c r="Z83" s="208">
        <f t="shared" si="58"/>
        <v>0</v>
      </c>
      <c r="AA83" s="704"/>
    </row>
    <row r="84" spans="2:27">
      <c r="B84" s="258" t="s">
        <v>702</v>
      </c>
      <c r="C84" s="359"/>
      <c r="D84" s="208">
        <f>+D83-D74</f>
        <v>0</v>
      </c>
      <c r="E84" s="208">
        <f t="shared" ref="E84:V84" si="59">+E83-E74</f>
        <v>0</v>
      </c>
      <c r="F84" s="208">
        <f t="shared" si="59"/>
        <v>0</v>
      </c>
      <c r="G84" s="208">
        <f t="shared" si="59"/>
        <v>0</v>
      </c>
      <c r="H84" s="208">
        <f t="shared" si="59"/>
        <v>0</v>
      </c>
      <c r="I84" s="208">
        <f t="shared" si="59"/>
        <v>0</v>
      </c>
      <c r="J84" s="208">
        <f t="shared" si="59"/>
        <v>0</v>
      </c>
      <c r="K84" s="208">
        <f t="shared" si="59"/>
        <v>0</v>
      </c>
      <c r="L84" s="208">
        <f t="shared" si="59"/>
        <v>0</v>
      </c>
      <c r="M84" s="208">
        <f t="shared" si="59"/>
        <v>0</v>
      </c>
      <c r="N84" s="208">
        <f t="shared" si="59"/>
        <v>0</v>
      </c>
      <c r="O84" s="208">
        <f t="shared" si="59"/>
        <v>0</v>
      </c>
      <c r="P84" s="208">
        <f t="shared" si="59"/>
        <v>0</v>
      </c>
      <c r="Q84" s="208">
        <f t="shared" si="59"/>
        <v>0</v>
      </c>
      <c r="R84" s="208">
        <f t="shared" si="59"/>
        <v>0</v>
      </c>
      <c r="S84" s="208">
        <f t="shared" si="59"/>
        <v>0</v>
      </c>
      <c r="T84" s="208">
        <f t="shared" si="59"/>
        <v>0</v>
      </c>
      <c r="U84" s="208">
        <f t="shared" si="59"/>
        <v>0</v>
      </c>
      <c r="V84" s="208">
        <f t="shared" si="59"/>
        <v>0</v>
      </c>
      <c r="W84" s="208">
        <f t="shared" ref="W84:X84" si="60">+W83-W74</f>
        <v>0</v>
      </c>
      <c r="X84" s="208">
        <f t="shared" si="60"/>
        <v>0</v>
      </c>
      <c r="Y84" s="208">
        <f t="shared" ref="Y84:Z84" si="61">+Y83-Y74</f>
        <v>0</v>
      </c>
      <c r="Z84" s="208">
        <f t="shared" si="61"/>
        <v>0</v>
      </c>
      <c r="AA84" s="704"/>
    </row>
    <row r="85" spans="2:27">
      <c r="B85" s="12"/>
      <c r="C85" s="359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704"/>
    </row>
    <row r="86" spans="2:27">
      <c r="B86" s="12"/>
      <c r="C86" s="359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704"/>
    </row>
    <row r="87" spans="2:27">
      <c r="B87" s="6"/>
      <c r="C87" s="749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57"/>
    </row>
    <row r="88" spans="2:27" ht="12.75" thickBot="1">
      <c r="B88" s="1034" t="s">
        <v>703</v>
      </c>
      <c r="C88" s="1034"/>
      <c r="D88" s="755">
        <f>+D48+D74</f>
        <v>0</v>
      </c>
      <c r="E88" s="755">
        <f t="shared" ref="E88:V88" si="62">+E48+E74</f>
        <v>0</v>
      </c>
      <c r="F88" s="755">
        <f t="shared" si="62"/>
        <v>0</v>
      </c>
      <c r="G88" s="755">
        <f t="shared" si="62"/>
        <v>0</v>
      </c>
      <c r="H88" s="755">
        <f t="shared" si="62"/>
        <v>0</v>
      </c>
      <c r="I88" s="755">
        <f t="shared" si="62"/>
        <v>0</v>
      </c>
      <c r="J88" s="755">
        <f t="shared" si="62"/>
        <v>0</v>
      </c>
      <c r="K88" s="755">
        <f t="shared" si="62"/>
        <v>0</v>
      </c>
      <c r="L88" s="755">
        <f t="shared" si="62"/>
        <v>0</v>
      </c>
      <c r="M88" s="755">
        <f t="shared" si="62"/>
        <v>0</v>
      </c>
      <c r="N88" s="755">
        <f t="shared" si="62"/>
        <v>0</v>
      </c>
      <c r="O88" s="755">
        <f t="shared" si="62"/>
        <v>0</v>
      </c>
      <c r="P88" s="755">
        <f t="shared" si="62"/>
        <v>0</v>
      </c>
      <c r="Q88" s="755">
        <f t="shared" si="62"/>
        <v>0</v>
      </c>
      <c r="R88" s="755">
        <f t="shared" si="62"/>
        <v>0</v>
      </c>
      <c r="S88" s="755">
        <f t="shared" si="62"/>
        <v>0</v>
      </c>
      <c r="T88" s="755">
        <f t="shared" si="62"/>
        <v>0</v>
      </c>
      <c r="U88" s="755">
        <f t="shared" si="62"/>
        <v>0</v>
      </c>
      <c r="V88" s="755">
        <f t="shared" si="62"/>
        <v>0</v>
      </c>
      <c r="W88" s="755">
        <f t="shared" ref="W88:X88" si="63">+W48+W74</f>
        <v>0</v>
      </c>
      <c r="X88" s="755">
        <f t="shared" si="63"/>
        <v>0</v>
      </c>
      <c r="Y88" s="755">
        <f t="shared" ref="Y88:Z88" si="64">+Y48+Y74</f>
        <v>0</v>
      </c>
      <c r="Z88" s="755">
        <f t="shared" si="64"/>
        <v>0</v>
      </c>
      <c r="AA88" s="357"/>
    </row>
    <row r="89" spans="2:27" ht="12.75" thickTop="1">
      <c r="B89" s="6"/>
      <c r="C89" s="749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57"/>
    </row>
    <row r="90" spans="2:27">
      <c r="B90" s="6"/>
      <c r="C90" s="749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57"/>
    </row>
    <row r="91" spans="2:27">
      <c r="B91" s="6"/>
      <c r="C91" s="749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57"/>
    </row>
    <row r="92" spans="2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705"/>
    </row>
    <row r="93" spans="2:27">
      <c r="M93" s="21"/>
      <c r="N93" s="21"/>
      <c r="O93" s="21"/>
      <c r="P93" s="21"/>
      <c r="Q93" s="21"/>
      <c r="R93" s="21"/>
      <c r="S93" s="21"/>
      <c r="T93" s="21"/>
      <c r="U93" s="21"/>
    </row>
    <row r="94" spans="2:27">
      <c r="M94" s="21"/>
      <c r="N94" s="21"/>
      <c r="O94" s="21"/>
      <c r="P94" s="21"/>
      <c r="Q94" s="21"/>
      <c r="R94" s="21"/>
      <c r="S94" s="21"/>
      <c r="T94" s="21"/>
      <c r="U94" s="21"/>
    </row>
    <row r="95" spans="2:27">
      <c r="M95" s="21"/>
      <c r="N95" s="21"/>
      <c r="O95" s="21"/>
      <c r="P95" s="21"/>
      <c r="Q95" s="21"/>
      <c r="R95" s="21"/>
      <c r="S95" s="21"/>
      <c r="T95" s="21"/>
      <c r="U95" s="21"/>
    </row>
    <row r="96" spans="2:27">
      <c r="M96" s="21"/>
      <c r="N96" s="21"/>
      <c r="O96" s="21"/>
      <c r="P96" s="21"/>
      <c r="Q96" s="21"/>
      <c r="R96" s="21"/>
      <c r="S96" s="21"/>
      <c r="T96" s="21"/>
      <c r="U96" s="21"/>
    </row>
    <row r="97" spans="13:21">
      <c r="M97" s="21"/>
      <c r="N97" s="21"/>
      <c r="O97" s="21"/>
      <c r="P97" s="21"/>
      <c r="Q97" s="21"/>
      <c r="R97" s="21"/>
      <c r="S97" s="21"/>
      <c r="T97" s="21"/>
      <c r="U97" s="21"/>
    </row>
    <row r="98" spans="13:21">
      <c r="M98" s="21"/>
      <c r="N98" s="21"/>
      <c r="O98" s="21"/>
      <c r="P98" s="21"/>
      <c r="Q98" s="21"/>
      <c r="R98" s="21"/>
      <c r="S98" s="21"/>
      <c r="T98" s="21"/>
      <c r="U98" s="21"/>
    </row>
    <row r="99" spans="13:21">
      <c r="M99" s="21"/>
      <c r="N99" s="21"/>
      <c r="O99" s="21"/>
      <c r="P99" s="21"/>
      <c r="Q99" s="21"/>
      <c r="R99" s="21"/>
      <c r="S99" s="21"/>
      <c r="T99" s="21"/>
      <c r="U99" s="21"/>
    </row>
    <row r="100" spans="13:21"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3:21"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3:21"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3:21"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3:21"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3:21"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3:21"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3:21"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3:21"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3:21"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3:21"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3:21"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3:21"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3:21"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3:21"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3:21"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3:21"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3:21"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3:21"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3:21"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3:21"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3:21"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3:21"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3:21"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3:21"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3:21">
      <c r="M125" s="21"/>
      <c r="N125" s="21"/>
      <c r="O125" s="21"/>
      <c r="P125" s="21"/>
      <c r="Q125" s="21"/>
      <c r="R125" s="21"/>
      <c r="S125" s="21"/>
      <c r="T125" s="21"/>
      <c r="U125" s="21"/>
    </row>
  </sheetData>
  <mergeCells count="4">
    <mergeCell ref="B2:C2"/>
    <mergeCell ref="B48:C48"/>
    <mergeCell ref="B88:C88"/>
    <mergeCell ref="B74:C74"/>
  </mergeCells>
  <phoneticPr fontId="40" type="noConversion"/>
  <pageMargins left="0.25" right="0.25" top="0.5" bottom="0.5" header="0.3" footer="0.3"/>
  <pageSetup scale="68" fitToHeight="3" orientation="landscape" r:id="rId1"/>
  <headerFooter>
    <oddFooter>&amp;L&amp;9&amp;A&amp;C&amp;10page &amp;P of &amp;N&amp;R&amp;9&amp;D</oddFooter>
  </headerFooter>
  <rowBreaks count="1" manualBreakCount="1">
    <brk id="61" max="2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T24"/>
  <sheetViews>
    <sheetView showGridLines="0" zoomScaleNormal="100" zoomScaleSheetLayoutView="100" workbookViewId="0">
      <pane xSplit="1" ySplit="3" topLeftCell="B4" activePane="bottomRight" state="frozen"/>
      <selection pane="bottomRight" activeCell="Q4" sqref="Q4"/>
      <selection pane="bottomLeft" activeCell="A4" sqref="A4"/>
      <selection pane="topRight" activeCell="B1" sqref="B1"/>
    </sheetView>
  </sheetViews>
  <sheetFormatPr defaultColWidth="8.75" defaultRowHeight="12"/>
  <cols>
    <col min="1" max="1" width="21" style="4" customWidth="1"/>
    <col min="2" max="20" width="5.375" style="4" bestFit="1" customWidth="1"/>
    <col min="21" max="16384" width="8.75" style="4"/>
  </cols>
  <sheetData>
    <row r="1" spans="1:20" s="106" customFormat="1">
      <c r="A1" s="548"/>
    </row>
    <row r="2" spans="1:20" s="106" customFormat="1">
      <c r="A2" s="43" t="s">
        <v>704</v>
      </c>
      <c r="P2" s="541"/>
    </row>
    <row r="3" spans="1:20" s="106" customFormat="1">
      <c r="B3" s="542" t="s">
        <v>705</v>
      </c>
      <c r="C3" s="542" t="s">
        <v>82</v>
      </c>
      <c r="D3" s="542" t="s">
        <v>83</v>
      </c>
      <c r="E3" s="542" t="s">
        <v>84</v>
      </c>
      <c r="F3" s="542" t="s">
        <v>85</v>
      </c>
      <c r="G3" s="542" t="s">
        <v>86</v>
      </c>
      <c r="H3" s="542" t="s">
        <v>87</v>
      </c>
      <c r="I3" s="542" t="s">
        <v>88</v>
      </c>
      <c r="J3" s="542" t="s">
        <v>89</v>
      </c>
      <c r="K3" s="542" t="s">
        <v>90</v>
      </c>
      <c r="L3" s="542" t="s">
        <v>91</v>
      </c>
      <c r="M3" s="542" t="s">
        <v>92</v>
      </c>
      <c r="N3" s="542" t="s">
        <v>93</v>
      </c>
      <c r="O3" s="542" t="s">
        <v>94</v>
      </c>
      <c r="P3" s="542" t="s">
        <v>95</v>
      </c>
      <c r="Q3" s="542" t="s">
        <v>96</v>
      </c>
      <c r="R3" s="542" t="s">
        <v>97</v>
      </c>
      <c r="S3" s="542" t="s">
        <v>98</v>
      </c>
      <c r="T3" s="542" t="s">
        <v>99</v>
      </c>
    </row>
    <row r="4" spans="1:20">
      <c r="A4" s="4" t="s">
        <v>706</v>
      </c>
      <c r="B4" s="951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</row>
    <row r="5" spans="1:20">
      <c r="A5" s="241" t="s">
        <v>707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</row>
    <row r="6" spans="1:20">
      <c r="A6" s="4" t="s">
        <v>708</v>
      </c>
      <c r="B6" s="27">
        <f>+B4-B5</f>
        <v>0</v>
      </c>
      <c r="C6" s="27">
        <f t="shared" ref="C6:Q6" si="0">+C4-C5</f>
        <v>0</v>
      </c>
      <c r="D6" s="27">
        <f t="shared" si="0"/>
        <v>0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ref="R6:S6" si="1">+R4-R5</f>
        <v>0</v>
      </c>
      <c r="S6" s="27">
        <f t="shared" si="1"/>
        <v>0</v>
      </c>
      <c r="T6" s="27">
        <f t="shared" ref="T6" si="2">+T4-T5</f>
        <v>0</v>
      </c>
    </row>
    <row r="7" spans="1:20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13"/>
      <c r="R7" s="13"/>
      <c r="S7" s="13"/>
      <c r="T7" s="13"/>
    </row>
    <row r="8" spans="1:20">
      <c r="A8" s="38" t="s">
        <v>709</v>
      </c>
    </row>
    <row r="9" spans="1:20">
      <c r="A9" s="32" t="s">
        <v>710</v>
      </c>
      <c r="B9" s="543"/>
      <c r="C9" s="543"/>
      <c r="D9" s="543"/>
      <c r="E9" s="54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4" t="s">
        <v>711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>
      <c r="A11" s="241" t="s">
        <v>712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</row>
    <row r="12" spans="1:20">
      <c r="A12" s="4" t="s">
        <v>713</v>
      </c>
      <c r="B12" s="27">
        <f>IF(SUM(B6:B11)&lt;0,SUM(B6:B11),0)</f>
        <v>0</v>
      </c>
      <c r="C12" s="27">
        <f t="shared" ref="C12:Q12" si="3">IF(SUM(C6:C11)&lt;0,SUM(C6:C11),0)</f>
        <v>0</v>
      </c>
      <c r="D12" s="27">
        <f t="shared" si="3"/>
        <v>0</v>
      </c>
      <c r="E12" s="27">
        <f t="shared" si="3"/>
        <v>0</v>
      </c>
      <c r="F12" s="27">
        <f t="shared" si="3"/>
        <v>0</v>
      </c>
      <c r="G12" s="27">
        <f t="shared" si="3"/>
        <v>0</v>
      </c>
      <c r="H12" s="27">
        <f t="shared" si="3"/>
        <v>0</v>
      </c>
      <c r="I12" s="27">
        <f t="shared" si="3"/>
        <v>0</v>
      </c>
      <c r="J12" s="27">
        <f t="shared" si="3"/>
        <v>0</v>
      </c>
      <c r="K12" s="27">
        <f t="shared" si="3"/>
        <v>0</v>
      </c>
      <c r="L12" s="27">
        <f t="shared" si="3"/>
        <v>0</v>
      </c>
      <c r="M12" s="27">
        <f t="shared" si="3"/>
        <v>0</v>
      </c>
      <c r="N12" s="27">
        <f t="shared" si="3"/>
        <v>0</v>
      </c>
      <c r="O12" s="27">
        <f t="shared" si="3"/>
        <v>0</v>
      </c>
      <c r="P12" s="27">
        <f t="shared" si="3"/>
        <v>0</v>
      </c>
      <c r="Q12" s="27">
        <f t="shared" si="3"/>
        <v>0</v>
      </c>
      <c r="R12" s="27">
        <f t="shared" ref="R12:S12" si="4">IF(SUM(R6:R11)&lt;0,SUM(R6:R11),0)</f>
        <v>0</v>
      </c>
      <c r="S12" s="27">
        <f t="shared" si="4"/>
        <v>0</v>
      </c>
      <c r="T12" s="27">
        <f t="shared" ref="T12" si="5">IF(SUM(T6:T11)&lt;0,SUM(T6:T11),0)</f>
        <v>0</v>
      </c>
    </row>
    <row r="13" spans="1:20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546" t="s">
        <v>714</v>
      </c>
      <c r="B14" s="544"/>
      <c r="C14" s="544"/>
      <c r="D14" s="544"/>
      <c r="E14" s="544"/>
      <c r="F14" s="13">
        <f t="shared" ref="F14:T14" si="6">ROUND(SUM(B5:F5)/5,0)</f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</row>
    <row r="15" spans="1:20">
      <c r="A15" s="546" t="s">
        <v>715</v>
      </c>
      <c r="B15" s="545"/>
      <c r="C15" s="545"/>
      <c r="D15" s="545"/>
      <c r="E15" s="545"/>
      <c r="F15" s="544"/>
      <c r="G15" s="544"/>
      <c r="H15" s="544"/>
      <c r="I15" s="544"/>
      <c r="J15" s="544"/>
      <c r="K15" s="13">
        <f t="shared" ref="K15:T15" si="7">ROUND(SUM(B5:K5)/10,0)</f>
        <v>0</v>
      </c>
      <c r="L15" s="13">
        <f t="shared" si="7"/>
        <v>0</v>
      </c>
      <c r="M15" s="13">
        <f t="shared" si="7"/>
        <v>0</v>
      </c>
      <c r="N15" s="13">
        <f t="shared" si="7"/>
        <v>0</v>
      </c>
      <c r="O15" s="13">
        <f t="shared" si="7"/>
        <v>0</v>
      </c>
      <c r="P15" s="13">
        <f t="shared" si="7"/>
        <v>0</v>
      </c>
      <c r="Q15" s="13">
        <f t="shared" si="7"/>
        <v>0</v>
      </c>
      <c r="R15" s="13">
        <f t="shared" si="7"/>
        <v>0</v>
      </c>
      <c r="S15" s="13">
        <f t="shared" si="7"/>
        <v>0</v>
      </c>
      <c r="T15" s="13">
        <f t="shared" si="7"/>
        <v>0</v>
      </c>
    </row>
    <row r="16" spans="1:20">
      <c r="F16" s="13"/>
      <c r="G16" s="13"/>
      <c r="H16" s="13"/>
      <c r="J16" s="13"/>
      <c r="K16" s="13"/>
      <c r="L16" s="10"/>
      <c r="M16" s="13"/>
      <c r="N16" s="13"/>
      <c r="O16" s="13"/>
      <c r="P16" s="13"/>
      <c r="Q16" s="13"/>
    </row>
    <row r="17" spans="6:17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6:17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6:17"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6:17"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6:17"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6:17"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6:17"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6:17"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</sheetData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ignoredErrors>
    <ignoredError sqref="G14:O14 P14:P15 F15:J15 L15:O1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2CA1-2DBA-4EBD-8B6D-8A5BFB5C46A7}">
  <sheetPr>
    <tabColor rgb="FFFFCCFF"/>
  </sheetPr>
  <dimension ref="A2:AE206"/>
  <sheetViews>
    <sheetView showGridLines="0" topLeftCell="A88" zoomScaleNormal="100" zoomScaleSheetLayoutView="100" workbookViewId="0">
      <selection activeCell="AC81" sqref="AC81"/>
    </sheetView>
  </sheetViews>
  <sheetFormatPr defaultColWidth="8.625" defaultRowHeight="12"/>
  <cols>
    <col min="1" max="1" width="19.625" style="4" customWidth="1"/>
    <col min="2" max="2" width="24.5" style="4" bestFit="1" customWidth="1"/>
    <col min="3" max="3" width="8.625" style="757" customWidth="1"/>
    <col min="4" max="4" width="8.625" style="757"/>
    <col min="5" max="5" width="16.125" style="4" bestFit="1" customWidth="1"/>
    <col min="6" max="6" width="4.875" style="4" bestFit="1" customWidth="1"/>
    <col min="7" max="7" width="7.25" style="757" bestFit="1" customWidth="1"/>
    <col min="8" max="16" width="8.625" style="4" hidden="1" customWidth="1"/>
    <col min="17" max="17" width="5.625" style="4" hidden="1" customWidth="1"/>
    <col min="18" max="18" width="7.125" style="4" hidden="1" customWidth="1"/>
    <col min="19" max="19" width="5.625" style="4" bestFit="1" customWidth="1"/>
    <col min="20" max="21" width="10.375" style="4" bestFit="1" customWidth="1"/>
    <col min="22" max="22" width="11" style="4" bestFit="1" customWidth="1"/>
    <col min="23" max="23" width="10.125" style="4" bestFit="1" customWidth="1"/>
    <col min="24" max="24" width="10.5" style="4" bestFit="1" customWidth="1"/>
    <col min="25" max="28" width="9.375" style="4" bestFit="1" customWidth="1"/>
    <col min="29" max="29" width="53.375" style="4" bestFit="1" customWidth="1"/>
    <col min="30" max="16384" width="8.625" style="4"/>
  </cols>
  <sheetData>
    <row r="2" spans="1:30" s="106" customFormat="1">
      <c r="C2" s="233"/>
      <c r="D2" s="233"/>
      <c r="E2" s="106" t="s">
        <v>716</v>
      </c>
      <c r="G2" s="233"/>
    </row>
    <row r="3" spans="1:30" s="106" customFormat="1">
      <c r="C3" s="233" t="s">
        <v>717</v>
      </c>
      <c r="D3" s="233" t="s">
        <v>718</v>
      </c>
      <c r="E3" s="106" t="s">
        <v>719</v>
      </c>
      <c r="F3" s="106" t="s">
        <v>720</v>
      </c>
      <c r="G3" s="233" t="s">
        <v>721</v>
      </c>
      <c r="Q3" s="99" t="s">
        <v>96</v>
      </c>
      <c r="R3" s="99" t="s">
        <v>97</v>
      </c>
      <c r="S3" s="99" t="s">
        <v>98</v>
      </c>
      <c r="T3" s="99" t="s">
        <v>99</v>
      </c>
      <c r="U3" s="99" t="s">
        <v>100</v>
      </c>
      <c r="V3" s="99" t="s">
        <v>101</v>
      </c>
      <c r="W3" s="99" t="s">
        <v>102</v>
      </c>
      <c r="X3" s="99" t="s">
        <v>103</v>
      </c>
      <c r="Y3" s="99" t="s">
        <v>104</v>
      </c>
      <c r="Z3" s="99" t="s">
        <v>105</v>
      </c>
      <c r="AA3" s="99" t="s">
        <v>106</v>
      </c>
      <c r="AB3" s="99" t="s">
        <v>107</v>
      </c>
    </row>
    <row r="4" spans="1:30" s="106" customFormat="1">
      <c r="A4" s="106" t="s">
        <v>722</v>
      </c>
      <c r="B4" s="106" t="s">
        <v>723</v>
      </c>
      <c r="C4" s="233" t="s">
        <v>75</v>
      </c>
      <c r="D4" s="233" t="s">
        <v>75</v>
      </c>
      <c r="E4" s="106" t="s">
        <v>724</v>
      </c>
      <c r="F4" s="106" t="s">
        <v>725</v>
      </c>
      <c r="G4" s="233" t="s">
        <v>75</v>
      </c>
      <c r="Q4" s="254" t="s">
        <v>158</v>
      </c>
      <c r="R4" s="254" t="s">
        <v>158</v>
      </c>
      <c r="S4" s="254" t="s">
        <v>158</v>
      </c>
      <c r="T4" s="254" t="s">
        <v>158</v>
      </c>
      <c r="U4" s="254" t="s">
        <v>158</v>
      </c>
      <c r="V4" s="99" t="s">
        <v>158</v>
      </c>
      <c r="W4" s="99" t="s">
        <v>158</v>
      </c>
      <c r="X4" s="99" t="s">
        <v>159</v>
      </c>
      <c r="Y4" s="99" t="s">
        <v>159</v>
      </c>
      <c r="Z4" s="99" t="s">
        <v>159</v>
      </c>
      <c r="AA4" s="99" t="s">
        <v>159</v>
      </c>
      <c r="AB4" s="99" t="s">
        <v>159</v>
      </c>
    </row>
    <row r="5" spans="1:30">
      <c r="E5" s="106" t="s">
        <v>726</v>
      </c>
    </row>
    <row r="6" spans="1:30" s="106" customFormat="1">
      <c r="C6" s="233"/>
      <c r="D6" s="233"/>
      <c r="E6" s="106" t="s">
        <v>727</v>
      </c>
      <c r="G6" s="233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</row>
    <row r="7" spans="1:30">
      <c r="AC7" s="4" t="s">
        <v>728</v>
      </c>
    </row>
    <row r="8" spans="1:30">
      <c r="A8" s="37" t="s">
        <v>729</v>
      </c>
      <c r="B8" s="37" t="s">
        <v>730</v>
      </c>
      <c r="C8" s="761"/>
      <c r="D8" s="761"/>
      <c r="E8" s="37" t="s">
        <v>724</v>
      </c>
      <c r="F8" s="37"/>
      <c r="G8" s="761"/>
      <c r="H8" s="37"/>
      <c r="I8" s="37"/>
      <c r="J8" s="37"/>
      <c r="K8" s="37"/>
      <c r="L8" s="37"/>
      <c r="M8" s="37"/>
      <c r="N8" s="37"/>
      <c r="O8" s="37"/>
      <c r="P8" s="37"/>
      <c r="Q8" s="772">
        <v>0</v>
      </c>
      <c r="R8" s="772">
        <v>0</v>
      </c>
      <c r="S8" s="772">
        <v>0</v>
      </c>
      <c r="T8" s="772">
        <v>102</v>
      </c>
      <c r="U8" s="772">
        <v>102</v>
      </c>
      <c r="V8" s="772">
        <v>102</v>
      </c>
      <c r="W8" s="772">
        <v>102</v>
      </c>
      <c r="X8" s="772">
        <v>102</v>
      </c>
      <c r="Y8" s="772">
        <v>102</v>
      </c>
      <c r="Z8" s="772">
        <v>102</v>
      </c>
      <c r="AA8" s="772">
        <v>102</v>
      </c>
      <c r="AB8" s="772">
        <v>102</v>
      </c>
      <c r="AC8" s="4" t="s">
        <v>731</v>
      </c>
      <c r="AD8" s="231"/>
    </row>
    <row r="9" spans="1:30">
      <c r="A9" s="770" t="s">
        <v>730</v>
      </c>
      <c r="B9" s="770"/>
      <c r="C9" s="771"/>
      <c r="D9" s="771"/>
      <c r="E9" s="770"/>
      <c r="F9" s="770"/>
      <c r="G9" s="771"/>
      <c r="H9" s="770"/>
      <c r="I9" s="770"/>
      <c r="J9" s="770"/>
      <c r="K9" s="770"/>
      <c r="L9" s="770"/>
      <c r="M9" s="770"/>
      <c r="N9" s="770"/>
      <c r="O9" s="770"/>
      <c r="P9" s="770"/>
      <c r="Q9" s="774">
        <f t="shared" ref="Q9:Z9" si="0">SUM(Q8:Q8)</f>
        <v>0</v>
      </c>
      <c r="R9" s="774">
        <f t="shared" si="0"/>
        <v>0</v>
      </c>
      <c r="S9" s="774">
        <f t="shared" si="0"/>
        <v>0</v>
      </c>
      <c r="T9" s="774">
        <f t="shared" si="0"/>
        <v>102</v>
      </c>
      <c r="U9" s="774">
        <f t="shared" si="0"/>
        <v>102</v>
      </c>
      <c r="V9" s="774">
        <f t="shared" si="0"/>
        <v>102</v>
      </c>
      <c r="W9" s="774">
        <f t="shared" si="0"/>
        <v>102</v>
      </c>
      <c r="X9" s="774">
        <f t="shared" si="0"/>
        <v>102</v>
      </c>
      <c r="Y9" s="774">
        <f t="shared" si="0"/>
        <v>102</v>
      </c>
      <c r="Z9" s="774">
        <f t="shared" si="0"/>
        <v>102</v>
      </c>
      <c r="AA9" s="774">
        <f t="shared" ref="AA9:AB9" si="1">SUM(AA8:AA8)</f>
        <v>102</v>
      </c>
      <c r="AB9" s="774">
        <f t="shared" si="1"/>
        <v>102</v>
      </c>
      <c r="AD9" s="231"/>
    </row>
    <row r="10" spans="1:30">
      <c r="C10" s="4"/>
      <c r="D10" s="4"/>
      <c r="G10" s="4"/>
    </row>
    <row r="11" spans="1:30">
      <c r="A11" s="37" t="s">
        <v>732</v>
      </c>
      <c r="B11" s="37" t="s">
        <v>733</v>
      </c>
      <c r="C11" s="761"/>
      <c r="D11" s="761"/>
      <c r="E11" s="37" t="s">
        <v>724</v>
      </c>
      <c r="F11" s="37"/>
      <c r="G11" s="761"/>
      <c r="H11" s="37"/>
      <c r="I11" s="37"/>
      <c r="J11" s="37"/>
      <c r="K11" s="37"/>
      <c r="L11" s="37"/>
      <c r="M11" s="37"/>
      <c r="N11" s="37"/>
      <c r="O11" s="37"/>
      <c r="P11" s="37"/>
      <c r="Q11" s="772">
        <v>0</v>
      </c>
      <c r="R11" s="772">
        <v>0</v>
      </c>
      <c r="S11" s="772">
        <v>0</v>
      </c>
      <c r="T11" s="772">
        <f>11545/3</f>
        <v>3848.3333333333335</v>
      </c>
      <c r="U11" s="772">
        <v>4000</v>
      </c>
      <c r="V11" s="772">
        <v>4000</v>
      </c>
      <c r="W11" s="772">
        <v>4000</v>
      </c>
      <c r="X11" s="772">
        <v>4000</v>
      </c>
      <c r="Y11" s="772">
        <v>4000</v>
      </c>
      <c r="Z11" s="772">
        <v>4000</v>
      </c>
      <c r="AA11" s="772">
        <v>4000</v>
      </c>
      <c r="AB11" s="772">
        <v>4000</v>
      </c>
      <c r="AC11" s="4" t="s">
        <v>734</v>
      </c>
    </row>
    <row r="12" spans="1:30">
      <c r="A12" s="37" t="s">
        <v>735</v>
      </c>
      <c r="B12" s="37" t="s">
        <v>733</v>
      </c>
      <c r="C12" s="761"/>
      <c r="D12" s="761"/>
      <c r="E12" s="37" t="s">
        <v>724</v>
      </c>
      <c r="F12" s="37"/>
      <c r="G12" s="761"/>
      <c r="H12" s="37"/>
      <c r="I12" s="37"/>
      <c r="J12" s="37"/>
      <c r="K12" s="37"/>
      <c r="L12" s="37"/>
      <c r="M12" s="37"/>
      <c r="N12" s="37"/>
      <c r="O12" s="37"/>
      <c r="P12" s="37"/>
      <c r="Q12" s="772">
        <v>0</v>
      </c>
      <c r="R12" s="772">
        <v>0</v>
      </c>
      <c r="S12" s="772">
        <v>0</v>
      </c>
      <c r="T12" s="772">
        <f t="shared" ref="T12:T13" si="2">11545/3</f>
        <v>3848.3333333333335</v>
      </c>
      <c r="U12" s="772">
        <v>4000</v>
      </c>
      <c r="V12" s="772">
        <v>4000</v>
      </c>
      <c r="W12" s="772">
        <v>4000</v>
      </c>
      <c r="X12" s="772">
        <v>4000</v>
      </c>
      <c r="Y12" s="772">
        <v>4000</v>
      </c>
      <c r="Z12" s="772">
        <v>4000</v>
      </c>
      <c r="AA12" s="772">
        <v>4000</v>
      </c>
      <c r="AB12" s="772">
        <v>4000</v>
      </c>
      <c r="AC12" s="4" t="s">
        <v>736</v>
      </c>
    </row>
    <row r="13" spans="1:30">
      <c r="A13" s="37" t="s">
        <v>737</v>
      </c>
      <c r="B13" s="37" t="s">
        <v>733</v>
      </c>
      <c r="C13" s="761"/>
      <c r="D13" s="761"/>
      <c r="E13" s="37" t="s">
        <v>724</v>
      </c>
      <c r="F13" s="37"/>
      <c r="G13" s="761"/>
      <c r="H13" s="37"/>
      <c r="I13" s="37"/>
      <c r="J13" s="37"/>
      <c r="K13" s="37"/>
      <c r="L13" s="37"/>
      <c r="M13" s="37"/>
      <c r="N13" s="37"/>
      <c r="O13" s="37"/>
      <c r="P13" s="37"/>
      <c r="Q13" s="772">
        <v>0</v>
      </c>
      <c r="R13" s="772">
        <v>0</v>
      </c>
      <c r="S13" s="772">
        <v>0</v>
      </c>
      <c r="T13" s="772">
        <f t="shared" si="2"/>
        <v>3848.3333333333335</v>
      </c>
      <c r="U13" s="772">
        <v>4000</v>
      </c>
      <c r="V13" s="772">
        <v>4000</v>
      </c>
      <c r="W13" s="772">
        <v>4000</v>
      </c>
      <c r="X13" s="772">
        <v>4000</v>
      </c>
      <c r="Y13" s="772">
        <v>4000</v>
      </c>
      <c r="Z13" s="772">
        <v>4000</v>
      </c>
      <c r="AA13" s="772">
        <v>4000</v>
      </c>
      <c r="AB13" s="772">
        <v>4000</v>
      </c>
    </row>
    <row r="14" spans="1:30">
      <c r="A14" s="37" t="s">
        <v>738</v>
      </c>
      <c r="B14" s="37" t="s">
        <v>739</v>
      </c>
      <c r="C14" s="761"/>
      <c r="D14" s="761"/>
      <c r="E14" s="37" t="s">
        <v>740</v>
      </c>
      <c r="F14" s="37"/>
      <c r="G14" s="761"/>
      <c r="H14" s="37"/>
      <c r="I14" s="37"/>
      <c r="J14" s="37"/>
      <c r="K14" s="37"/>
      <c r="L14" s="37"/>
      <c r="M14" s="37"/>
      <c r="N14" s="37"/>
      <c r="O14" s="37"/>
      <c r="P14" s="37"/>
      <c r="Q14" s="772">
        <v>0</v>
      </c>
      <c r="R14" s="772">
        <v>0</v>
      </c>
      <c r="S14" s="772">
        <v>0</v>
      </c>
      <c r="T14" s="772">
        <v>68300</v>
      </c>
      <c r="U14" s="772">
        <v>68300</v>
      </c>
      <c r="V14" s="772">
        <v>77000</v>
      </c>
      <c r="W14" s="772">
        <v>80000</v>
      </c>
      <c r="X14" s="772">
        <v>105000</v>
      </c>
      <c r="Y14" s="772">
        <v>110000</v>
      </c>
      <c r="Z14" s="772">
        <v>115000</v>
      </c>
      <c r="AA14" s="772">
        <v>120000</v>
      </c>
      <c r="AB14" s="772">
        <v>125000</v>
      </c>
      <c r="AC14" s="4" t="s">
        <v>741</v>
      </c>
    </row>
    <row r="15" spans="1:30">
      <c r="A15" s="35" t="s">
        <v>742</v>
      </c>
      <c r="B15" s="35" t="s">
        <v>743</v>
      </c>
      <c r="C15" s="768"/>
      <c r="D15" s="768"/>
      <c r="E15" s="35" t="s">
        <v>716</v>
      </c>
      <c r="F15" s="35" t="s">
        <v>744</v>
      </c>
      <c r="G15" s="768"/>
      <c r="H15" s="35"/>
      <c r="I15" s="35"/>
      <c r="J15" s="35"/>
      <c r="K15" s="35"/>
      <c r="L15" s="35"/>
      <c r="M15" s="35"/>
      <c r="N15" s="35"/>
      <c r="O15" s="35"/>
      <c r="P15" s="35"/>
      <c r="Q15" s="773"/>
      <c r="R15" s="773"/>
      <c r="S15" s="773"/>
      <c r="T15" s="773"/>
      <c r="U15" s="773"/>
      <c r="V15" s="773"/>
      <c r="W15" s="773">
        <v>8589</v>
      </c>
      <c r="X15" s="773">
        <v>15698</v>
      </c>
      <c r="Y15" s="773">
        <f>X15*1.03</f>
        <v>16168.94</v>
      </c>
      <c r="Z15" s="773">
        <f t="shared" ref="Y15:AB15" si="3">Y15*1.03</f>
        <v>16654.0082</v>
      </c>
      <c r="AA15" s="773">
        <f t="shared" si="3"/>
        <v>17153.628446000002</v>
      </c>
      <c r="AB15" s="773">
        <f t="shared" si="3"/>
        <v>17668.237299380002</v>
      </c>
      <c r="AC15" s="4" t="s">
        <v>745</v>
      </c>
    </row>
    <row r="16" spans="1:30">
      <c r="A16" s="996" t="s">
        <v>746</v>
      </c>
      <c r="B16" s="996" t="s">
        <v>747</v>
      </c>
      <c r="C16" s="997"/>
      <c r="D16" s="997"/>
      <c r="E16" s="996" t="s">
        <v>716</v>
      </c>
      <c r="F16" s="996"/>
      <c r="G16" s="997"/>
      <c r="H16" s="996"/>
      <c r="I16" s="996"/>
      <c r="J16" s="996"/>
      <c r="K16" s="996"/>
      <c r="L16" s="996"/>
      <c r="M16" s="996"/>
      <c r="N16" s="996"/>
      <c r="O16" s="996"/>
      <c r="P16" s="996"/>
      <c r="Q16" s="998">
        <v>0</v>
      </c>
      <c r="R16" s="998">
        <v>0</v>
      </c>
      <c r="S16" s="998">
        <v>0</v>
      </c>
      <c r="T16" s="998">
        <v>23685</v>
      </c>
      <c r="U16" s="998">
        <v>23000</v>
      </c>
      <c r="V16" s="998">
        <v>33434</v>
      </c>
      <c r="W16" s="998">
        <v>0</v>
      </c>
      <c r="X16" s="998"/>
      <c r="Y16" s="998">
        <v>0</v>
      </c>
      <c r="Z16" s="998">
        <v>0</v>
      </c>
      <c r="AA16" s="998">
        <v>0</v>
      </c>
      <c r="AB16" s="998">
        <v>0</v>
      </c>
      <c r="AC16" s="4" t="s">
        <v>748</v>
      </c>
    </row>
    <row r="17" spans="1:29">
      <c r="A17" s="769" t="s">
        <v>749</v>
      </c>
      <c r="B17" s="770"/>
      <c r="C17" s="771"/>
      <c r="D17" s="771"/>
      <c r="E17" s="770"/>
      <c r="F17" s="770"/>
      <c r="G17" s="771"/>
      <c r="H17" s="770"/>
      <c r="I17" s="770"/>
      <c r="J17" s="770"/>
      <c r="K17" s="770"/>
      <c r="L17" s="770"/>
      <c r="M17" s="770"/>
      <c r="N17" s="770"/>
      <c r="O17" s="770"/>
      <c r="P17" s="770"/>
      <c r="Q17" s="774">
        <f t="shared" ref="Q17:Z17" si="4">SUM(Q11:Q16)</f>
        <v>0</v>
      </c>
      <c r="R17" s="774">
        <f t="shared" si="4"/>
        <v>0</v>
      </c>
      <c r="S17" s="774">
        <f t="shared" si="4"/>
        <v>0</v>
      </c>
      <c r="T17" s="774">
        <f t="shared" si="4"/>
        <v>103530</v>
      </c>
      <c r="U17" s="774">
        <f t="shared" si="4"/>
        <v>103300</v>
      </c>
      <c r="V17" s="774">
        <f t="shared" si="4"/>
        <v>122434</v>
      </c>
      <c r="W17" s="774">
        <f t="shared" si="4"/>
        <v>100589</v>
      </c>
      <c r="X17" s="774">
        <f>SUM(X11:X15)</f>
        <v>132698</v>
      </c>
      <c r="Y17" s="774">
        <f t="shared" si="4"/>
        <v>138168.94</v>
      </c>
      <c r="Z17" s="774">
        <f t="shared" si="4"/>
        <v>143654.00820000001</v>
      </c>
      <c r="AA17" s="774">
        <f t="shared" ref="AA17:AB17" si="5">SUM(AA11:AA16)</f>
        <v>149153.62844599999</v>
      </c>
      <c r="AB17" s="774">
        <f t="shared" si="5"/>
        <v>154668.23729938001</v>
      </c>
      <c r="AC17" s="4" t="s">
        <v>750</v>
      </c>
    </row>
    <row r="19" spans="1:29">
      <c r="A19" s="37" t="s">
        <v>751</v>
      </c>
      <c r="B19" s="37" t="s">
        <v>752</v>
      </c>
      <c r="C19" s="761"/>
      <c r="D19" s="761"/>
      <c r="E19" s="37" t="s">
        <v>740</v>
      </c>
      <c r="F19" s="37"/>
      <c r="G19" s="761"/>
      <c r="H19" s="37"/>
      <c r="I19" s="37"/>
      <c r="J19" s="37"/>
      <c r="K19" s="37"/>
      <c r="L19" s="37"/>
      <c r="M19" s="37"/>
      <c r="N19" s="37"/>
      <c r="O19" s="37"/>
      <c r="P19" s="37"/>
      <c r="Q19" s="772">
        <v>0</v>
      </c>
      <c r="R19" s="772">
        <v>0</v>
      </c>
      <c r="S19" s="772">
        <v>0</v>
      </c>
      <c r="T19" s="772">
        <v>61500</v>
      </c>
      <c r="U19" s="772">
        <v>56000</v>
      </c>
      <c r="V19" s="772">
        <v>59500</v>
      </c>
      <c r="W19" s="772">
        <v>70000</v>
      </c>
      <c r="X19" s="772">
        <v>80000</v>
      </c>
      <c r="Y19" s="772">
        <v>85000</v>
      </c>
      <c r="Z19" s="772">
        <v>90000</v>
      </c>
      <c r="AA19" s="772">
        <v>95000</v>
      </c>
      <c r="AB19" s="772">
        <v>100000</v>
      </c>
    </row>
    <row r="20" spans="1:29">
      <c r="A20" s="989" t="s">
        <v>746</v>
      </c>
      <c r="B20" s="989" t="s">
        <v>753</v>
      </c>
      <c r="C20" s="990"/>
      <c r="D20" s="990"/>
      <c r="E20" s="989" t="s">
        <v>716</v>
      </c>
      <c r="F20" s="989"/>
      <c r="G20" s="990"/>
      <c r="H20" s="989"/>
      <c r="I20" s="989"/>
      <c r="J20" s="989"/>
      <c r="K20" s="989"/>
      <c r="L20" s="989"/>
      <c r="M20" s="989"/>
      <c r="N20" s="989"/>
      <c r="O20" s="989"/>
      <c r="P20" s="989"/>
      <c r="Q20" s="999">
        <v>0</v>
      </c>
      <c r="R20" s="999">
        <v>0</v>
      </c>
      <c r="S20" s="999">
        <v>0</v>
      </c>
      <c r="T20" s="999">
        <v>27795</v>
      </c>
      <c r="U20" s="999">
        <v>25000</v>
      </c>
      <c r="V20" s="999">
        <v>25000</v>
      </c>
      <c r="W20" s="999">
        <v>0</v>
      </c>
      <c r="X20" s="999">
        <v>45360</v>
      </c>
      <c r="Y20" s="999">
        <f>X20*1.03</f>
        <v>46720.800000000003</v>
      </c>
      <c r="Z20" s="999">
        <f t="shared" ref="Z20:AB20" si="6">Y20*1.03</f>
        <v>48122.424000000006</v>
      </c>
      <c r="AA20" s="999">
        <f t="shared" si="6"/>
        <v>49566.096720000009</v>
      </c>
      <c r="AB20" s="999">
        <f t="shared" si="6"/>
        <v>51053.079621600009</v>
      </c>
    </row>
    <row r="21" spans="1:29">
      <c r="A21" s="37" t="s">
        <v>742</v>
      </c>
      <c r="B21" s="37" t="s">
        <v>743</v>
      </c>
      <c r="C21" s="761"/>
      <c r="D21" s="761"/>
      <c r="E21" s="37" t="s">
        <v>716</v>
      </c>
      <c r="F21" s="37" t="s">
        <v>744</v>
      </c>
      <c r="G21" s="761"/>
      <c r="H21" s="37"/>
      <c r="I21" s="37"/>
      <c r="J21" s="37"/>
      <c r="K21" s="37"/>
      <c r="L21" s="37"/>
      <c r="M21" s="37"/>
      <c r="N21" s="37"/>
      <c r="O21" s="37"/>
      <c r="P21" s="37"/>
      <c r="Q21" s="772">
        <v>0</v>
      </c>
      <c r="R21" s="772">
        <v>0</v>
      </c>
      <c r="S21" s="772">
        <v>0</v>
      </c>
      <c r="T21" s="772">
        <v>0</v>
      </c>
      <c r="U21" s="772">
        <v>0</v>
      </c>
      <c r="V21" s="772">
        <v>0</v>
      </c>
      <c r="W21" s="772">
        <v>5268</v>
      </c>
      <c r="X21" s="4">
        <f>0</f>
        <v>0</v>
      </c>
      <c r="Y21" s="4">
        <f>0</f>
        <v>0</v>
      </c>
      <c r="Z21" s="4">
        <f>0</f>
        <v>0</v>
      </c>
      <c r="AA21" s="4">
        <f>0</f>
        <v>0</v>
      </c>
      <c r="AB21" s="4">
        <f>0</f>
        <v>0</v>
      </c>
    </row>
    <row r="22" spans="1:29">
      <c r="A22" s="770" t="s">
        <v>754</v>
      </c>
      <c r="B22" s="770"/>
      <c r="C22" s="771"/>
      <c r="D22" s="771"/>
      <c r="E22" s="770"/>
      <c r="F22" s="770"/>
      <c r="G22" s="771"/>
      <c r="H22" s="770"/>
      <c r="I22" s="770"/>
      <c r="J22" s="770"/>
      <c r="K22" s="770"/>
      <c r="L22" s="770"/>
      <c r="M22" s="770"/>
      <c r="N22" s="770"/>
      <c r="O22" s="770"/>
      <c r="P22" s="770"/>
      <c r="Q22" s="774">
        <f>SUM(Q19:Q21)</f>
        <v>0</v>
      </c>
      <c r="R22" s="774">
        <f>SUM(R19:R21)</f>
        <v>0</v>
      </c>
      <c r="S22" s="774">
        <f t="shared" ref="S22:V22" si="7">SUM(S19:S21)</f>
        <v>0</v>
      </c>
      <c r="T22" s="774">
        <f t="shared" si="7"/>
        <v>89295</v>
      </c>
      <c r="U22" s="774">
        <f t="shared" si="7"/>
        <v>81000</v>
      </c>
      <c r="V22" s="774">
        <f t="shared" si="7"/>
        <v>84500</v>
      </c>
      <c r="W22" s="774">
        <f t="shared" ref="W22:X22" si="8">SUM(W19:W21)</f>
        <v>75268</v>
      </c>
      <c r="X22" s="774">
        <f t="shared" si="8"/>
        <v>125360</v>
      </c>
      <c r="Y22" s="774">
        <f t="shared" ref="Y22:Z22" si="9">SUM(Y19:Y21)</f>
        <v>131720.79999999999</v>
      </c>
      <c r="Z22" s="774">
        <f t="shared" si="9"/>
        <v>138122.424</v>
      </c>
      <c r="AA22" s="774">
        <f t="shared" ref="AA22:AB22" si="10">SUM(AA19:AA21)</f>
        <v>144566.09672</v>
      </c>
      <c r="AB22" s="774">
        <f t="shared" si="10"/>
        <v>151053.07962160002</v>
      </c>
    </row>
    <row r="24" spans="1:29" s="106" customFormat="1">
      <c r="A24" s="37" t="s">
        <v>755</v>
      </c>
      <c r="B24" s="37" t="s">
        <v>756</v>
      </c>
      <c r="C24" s="761"/>
      <c r="D24" s="761"/>
      <c r="E24" s="37" t="s">
        <v>724</v>
      </c>
      <c r="F24" s="37"/>
      <c r="G24" s="761"/>
      <c r="H24" s="37"/>
      <c r="I24" s="37"/>
      <c r="J24" s="37"/>
      <c r="K24" s="37"/>
      <c r="L24" s="37"/>
      <c r="M24" s="37"/>
      <c r="N24" s="37"/>
      <c r="O24" s="37"/>
      <c r="P24" s="37"/>
      <c r="Q24" s="772">
        <v>0</v>
      </c>
      <c r="R24" s="772">
        <v>0</v>
      </c>
      <c r="S24" s="772">
        <v>0</v>
      </c>
      <c r="T24" s="772">
        <f>11545/3</f>
        <v>3848.3333333333335</v>
      </c>
      <c r="U24" s="772">
        <v>4000</v>
      </c>
      <c r="V24" s="772">
        <f>12240/3</f>
        <v>4080</v>
      </c>
      <c r="W24" s="772">
        <f>12546/3</f>
        <v>4182</v>
      </c>
      <c r="X24" s="772">
        <f>W24*1.02</f>
        <v>4265.6400000000003</v>
      </c>
      <c r="Y24" s="772">
        <f t="shared" ref="Y24:AB24" si="11">X24*1.02</f>
        <v>4350.9528</v>
      </c>
      <c r="Z24" s="772">
        <f t="shared" si="11"/>
        <v>4437.9718560000001</v>
      </c>
      <c r="AA24" s="772">
        <f t="shared" si="11"/>
        <v>4526.7312931200004</v>
      </c>
      <c r="AB24" s="772">
        <f t="shared" si="11"/>
        <v>4617.2659189824008</v>
      </c>
    </row>
    <row r="25" spans="1:29">
      <c r="A25" s="37" t="s">
        <v>757</v>
      </c>
      <c r="B25" s="37" t="s">
        <v>756</v>
      </c>
      <c r="C25" s="761"/>
      <c r="D25" s="761"/>
      <c r="E25" s="37" t="s">
        <v>724</v>
      </c>
      <c r="F25" s="37"/>
      <c r="G25" s="761"/>
      <c r="H25" s="37"/>
      <c r="I25" s="37"/>
      <c r="J25" s="37"/>
      <c r="K25" s="37"/>
      <c r="L25" s="37"/>
      <c r="M25" s="37"/>
      <c r="N25" s="37"/>
      <c r="O25" s="37"/>
      <c r="P25" s="37"/>
      <c r="Q25" s="772">
        <v>0</v>
      </c>
      <c r="R25" s="772">
        <v>0</v>
      </c>
      <c r="S25" s="772">
        <v>0</v>
      </c>
      <c r="T25" s="772">
        <f t="shared" ref="T25:T26" si="12">11545/3</f>
        <v>3848.3333333333335</v>
      </c>
      <c r="U25" s="772">
        <v>4000</v>
      </c>
      <c r="V25" s="772">
        <f t="shared" ref="V25:V26" si="13">12240/3</f>
        <v>4080</v>
      </c>
      <c r="W25" s="772">
        <f t="shared" ref="W25:W26" si="14">12546/3</f>
        <v>4182</v>
      </c>
      <c r="X25" s="772">
        <f t="shared" ref="X25:AB26" si="15">W25*1.02</f>
        <v>4265.6400000000003</v>
      </c>
      <c r="Y25" s="772">
        <f t="shared" si="15"/>
        <v>4350.9528</v>
      </c>
      <c r="Z25" s="772">
        <f t="shared" si="15"/>
        <v>4437.9718560000001</v>
      </c>
      <c r="AA25" s="772">
        <f t="shared" si="15"/>
        <v>4526.7312931200004</v>
      </c>
      <c r="AB25" s="772">
        <f t="shared" si="15"/>
        <v>4617.2659189824008</v>
      </c>
    </row>
    <row r="26" spans="1:29">
      <c r="A26" s="37" t="s">
        <v>758</v>
      </c>
      <c r="B26" s="37" t="s">
        <v>756</v>
      </c>
      <c r="C26" s="761"/>
      <c r="D26" s="761"/>
      <c r="E26" s="37" t="s">
        <v>724</v>
      </c>
      <c r="F26" s="37"/>
      <c r="G26" s="761"/>
      <c r="H26" s="37"/>
      <c r="I26" s="37"/>
      <c r="J26" s="37"/>
      <c r="K26" s="37"/>
      <c r="L26" s="37"/>
      <c r="M26" s="37"/>
      <c r="N26" s="37"/>
      <c r="O26" s="37"/>
      <c r="P26" s="37"/>
      <c r="Q26" s="772"/>
      <c r="R26" s="772"/>
      <c r="S26" s="772"/>
      <c r="T26" s="772">
        <f t="shared" si="12"/>
        <v>3848.3333333333335</v>
      </c>
      <c r="U26" s="772">
        <v>4000</v>
      </c>
      <c r="V26" s="772">
        <f t="shared" si="13"/>
        <v>4080</v>
      </c>
      <c r="W26" s="772">
        <f t="shared" si="14"/>
        <v>4182</v>
      </c>
      <c r="X26" s="772">
        <f t="shared" si="15"/>
        <v>4265.6400000000003</v>
      </c>
      <c r="Y26" s="772">
        <f t="shared" si="15"/>
        <v>4350.9528</v>
      </c>
      <c r="Z26" s="772">
        <f t="shared" si="15"/>
        <v>4437.9718560000001</v>
      </c>
      <c r="AA26" s="772">
        <f t="shared" si="15"/>
        <v>4526.7312931200004</v>
      </c>
      <c r="AB26" s="772">
        <f t="shared" si="15"/>
        <v>4617.2659189824008</v>
      </c>
    </row>
    <row r="27" spans="1:29">
      <c r="A27" s="37" t="s">
        <v>759</v>
      </c>
      <c r="B27" s="37" t="s">
        <v>760</v>
      </c>
      <c r="C27" s="761"/>
      <c r="D27" s="761"/>
      <c r="E27" s="37" t="s">
        <v>740</v>
      </c>
      <c r="F27" s="37"/>
      <c r="G27" s="761"/>
      <c r="H27" s="37"/>
      <c r="I27" s="37"/>
      <c r="J27" s="37"/>
      <c r="K27" s="37"/>
      <c r="L27" s="37"/>
      <c r="M27" s="37"/>
      <c r="N27" s="37"/>
      <c r="O27" s="37"/>
      <c r="P27" s="37"/>
      <c r="Q27" s="772"/>
      <c r="R27" s="772"/>
      <c r="S27" s="772"/>
      <c r="T27" s="772">
        <v>31371</v>
      </c>
      <c r="U27" s="772">
        <v>31371</v>
      </c>
      <c r="V27" s="772">
        <v>36000</v>
      </c>
      <c r="W27" s="772">
        <v>65000</v>
      </c>
      <c r="X27" s="772">
        <v>67500</v>
      </c>
      <c r="Y27" s="772">
        <v>70000</v>
      </c>
      <c r="Z27" s="772">
        <v>72500</v>
      </c>
      <c r="AA27" s="772">
        <v>75000</v>
      </c>
      <c r="AB27" s="772">
        <v>77500</v>
      </c>
    </row>
    <row r="28" spans="1:29">
      <c r="A28" s="37" t="s">
        <v>742</v>
      </c>
      <c r="B28" s="37" t="s">
        <v>743</v>
      </c>
      <c r="C28" s="761"/>
      <c r="D28" s="761"/>
      <c r="E28" s="37" t="s">
        <v>716</v>
      </c>
      <c r="F28" s="37" t="s">
        <v>744</v>
      </c>
      <c r="G28" s="761"/>
      <c r="H28" s="37"/>
      <c r="I28" s="37"/>
      <c r="J28" s="37"/>
      <c r="K28" s="37"/>
      <c r="L28" s="37"/>
      <c r="M28" s="37"/>
      <c r="N28" s="37"/>
      <c r="O28" s="37"/>
      <c r="P28" s="37"/>
      <c r="Q28" s="772">
        <v>0</v>
      </c>
      <c r="R28" s="772">
        <v>0</v>
      </c>
      <c r="S28" s="772">
        <v>0</v>
      </c>
      <c r="T28" s="772">
        <v>0</v>
      </c>
      <c r="U28" s="772">
        <v>0</v>
      </c>
      <c r="V28" s="772">
        <v>10353</v>
      </c>
      <c r="W28" s="772">
        <v>10736</v>
      </c>
      <c r="X28" s="772">
        <f>12000</f>
        <v>12000</v>
      </c>
      <c r="Y28" s="772">
        <f t="shared" ref="Y28:AB28" si="16">X28*1.03</f>
        <v>12360</v>
      </c>
      <c r="Z28" s="772">
        <f t="shared" si="16"/>
        <v>12730.800000000001</v>
      </c>
      <c r="AA28" s="772">
        <f t="shared" si="16"/>
        <v>13112.724000000002</v>
      </c>
      <c r="AB28" s="772">
        <f t="shared" si="16"/>
        <v>13506.105720000003</v>
      </c>
    </row>
    <row r="29" spans="1:29">
      <c r="A29" s="770" t="s">
        <v>761</v>
      </c>
      <c r="B29" s="770"/>
      <c r="C29" s="771"/>
      <c r="D29" s="771"/>
      <c r="E29" s="770"/>
      <c r="F29" s="770"/>
      <c r="G29" s="771"/>
      <c r="H29" s="770"/>
      <c r="I29" s="770"/>
      <c r="J29" s="770"/>
      <c r="K29" s="770"/>
      <c r="L29" s="770"/>
      <c r="M29" s="770"/>
      <c r="N29" s="770"/>
      <c r="O29" s="770"/>
      <c r="P29" s="770"/>
      <c r="Q29" s="774">
        <f>SUM(Q24:Q28)</f>
        <v>0</v>
      </c>
      <c r="R29" s="774">
        <f>SUM(R24:R28)</f>
        <v>0</v>
      </c>
      <c r="S29" s="774">
        <f t="shared" ref="S29:Z29" si="17">SUM(S24:S28)</f>
        <v>0</v>
      </c>
      <c r="T29" s="774">
        <f t="shared" si="17"/>
        <v>42916</v>
      </c>
      <c r="U29" s="774">
        <f t="shared" si="17"/>
        <v>43371</v>
      </c>
      <c r="V29" s="774">
        <f t="shared" si="17"/>
        <v>58593</v>
      </c>
      <c r="W29" s="774">
        <f t="shared" si="17"/>
        <v>88282</v>
      </c>
      <c r="X29" s="774">
        <f t="shared" si="17"/>
        <v>92296.92</v>
      </c>
      <c r="Y29" s="774">
        <f t="shared" si="17"/>
        <v>95412.858399999997</v>
      </c>
      <c r="Z29" s="774">
        <f t="shared" si="17"/>
        <v>98544.715568</v>
      </c>
      <c r="AA29" s="774">
        <f t="shared" ref="AA29:AB29" si="18">SUM(AA24:AA28)</f>
        <v>101692.91787936</v>
      </c>
      <c r="AB29" s="774">
        <f t="shared" si="18"/>
        <v>104857.90347694721</v>
      </c>
    </row>
    <row r="30" spans="1:29">
      <c r="C30" s="4"/>
      <c r="D30" s="4"/>
      <c r="G30" s="4"/>
    </row>
    <row r="31" spans="1:29">
      <c r="A31" s="37" t="s">
        <v>762</v>
      </c>
      <c r="B31" s="37" t="s">
        <v>763</v>
      </c>
      <c r="C31" s="761"/>
      <c r="D31" s="761"/>
      <c r="E31" s="37" t="s">
        <v>724</v>
      </c>
      <c r="F31" s="37"/>
      <c r="G31" s="761"/>
      <c r="H31" s="37"/>
      <c r="I31" s="37"/>
      <c r="J31" s="37"/>
      <c r="K31" s="37"/>
      <c r="L31" s="37"/>
      <c r="M31" s="37"/>
      <c r="N31" s="37"/>
      <c r="O31" s="37"/>
      <c r="P31" s="37"/>
      <c r="Q31" s="772">
        <v>0</v>
      </c>
      <c r="R31" s="772">
        <v>0</v>
      </c>
      <c r="S31" s="772">
        <v>0</v>
      </c>
      <c r="T31" s="772">
        <v>31698</v>
      </c>
      <c r="U31" s="772">
        <v>34198</v>
      </c>
      <c r="V31" s="772">
        <v>35198</v>
      </c>
      <c r="W31" s="772">
        <v>5866</v>
      </c>
      <c r="X31" s="772">
        <v>0</v>
      </c>
      <c r="Y31" s="772">
        <v>0</v>
      </c>
      <c r="Z31" s="772">
        <v>0</v>
      </c>
      <c r="AA31" s="772">
        <v>0</v>
      </c>
      <c r="AB31" s="772">
        <v>0</v>
      </c>
    </row>
    <row r="32" spans="1:29">
      <c r="A32" s="37" t="s">
        <v>764</v>
      </c>
      <c r="B32" s="37" t="s">
        <v>765</v>
      </c>
      <c r="C32" s="761"/>
      <c r="D32" s="761"/>
      <c r="E32" s="37" t="s">
        <v>716</v>
      </c>
      <c r="F32" s="37" t="s">
        <v>766</v>
      </c>
      <c r="G32" s="761"/>
      <c r="H32" s="37"/>
      <c r="I32" s="37"/>
      <c r="J32" s="37"/>
      <c r="K32" s="37"/>
      <c r="L32" s="37"/>
      <c r="M32" s="37"/>
      <c r="N32" s="37"/>
      <c r="O32" s="37"/>
      <c r="P32" s="37"/>
      <c r="Q32" s="772">
        <v>0</v>
      </c>
      <c r="R32" s="772">
        <v>0</v>
      </c>
      <c r="S32" s="772">
        <v>0</v>
      </c>
      <c r="T32" s="772">
        <v>24700</v>
      </c>
      <c r="U32" s="772">
        <v>25000</v>
      </c>
      <c r="V32" s="772">
        <v>27342</v>
      </c>
      <c r="W32" s="772">
        <v>29180</v>
      </c>
      <c r="X32" s="772">
        <f>(27.79*1.03)*52.5*20</f>
        <v>30054.884999999998</v>
      </c>
      <c r="Y32" s="772">
        <f t="shared" ref="Y32:AB32" si="19">X32*1.03</f>
        <v>30956.53155</v>
      </c>
      <c r="Z32" s="772">
        <f t="shared" si="19"/>
        <v>31885.2274965</v>
      </c>
      <c r="AA32" s="772">
        <f t="shared" si="19"/>
        <v>32841.784321395004</v>
      </c>
      <c r="AB32" s="772">
        <f t="shared" si="19"/>
        <v>33827.037851036854</v>
      </c>
    </row>
    <row r="33" spans="1:28">
      <c r="A33" s="989" t="s">
        <v>746</v>
      </c>
      <c r="B33" s="989" t="s">
        <v>767</v>
      </c>
      <c r="C33" s="990"/>
      <c r="D33" s="990"/>
      <c r="E33" s="989" t="s">
        <v>768</v>
      </c>
      <c r="F33" s="989"/>
      <c r="G33" s="990"/>
      <c r="H33" s="989"/>
      <c r="I33" s="989"/>
      <c r="J33" s="989"/>
      <c r="K33" s="989"/>
      <c r="L33" s="989"/>
      <c r="M33" s="989"/>
      <c r="N33" s="989"/>
      <c r="O33" s="989"/>
      <c r="P33" s="989"/>
      <c r="Q33" s="999"/>
      <c r="R33" s="999"/>
      <c r="S33" s="999"/>
      <c r="T33" s="999">
        <v>19928</v>
      </c>
      <c r="U33" s="999">
        <v>19928</v>
      </c>
      <c r="V33" s="999">
        <v>23000</v>
      </c>
      <c r="W33" s="999">
        <v>22417</v>
      </c>
      <c r="X33" s="999"/>
      <c r="Y33" s="999"/>
      <c r="Z33" s="999"/>
      <c r="AA33" s="999"/>
      <c r="AB33" s="999"/>
    </row>
    <row r="34" spans="1:28">
      <c r="A34" s="37" t="s">
        <v>769</v>
      </c>
      <c r="B34" s="37" t="s">
        <v>770</v>
      </c>
      <c r="C34" s="761"/>
      <c r="D34" s="761"/>
      <c r="E34" s="37" t="s">
        <v>740</v>
      </c>
      <c r="F34" s="37"/>
      <c r="G34" s="761"/>
      <c r="H34" s="37"/>
      <c r="I34" s="37"/>
      <c r="J34" s="37"/>
      <c r="K34" s="37"/>
      <c r="L34" s="37"/>
      <c r="M34" s="37"/>
      <c r="N34" s="37"/>
      <c r="O34" s="37"/>
      <c r="P34" s="37"/>
      <c r="Q34" s="772"/>
      <c r="R34" s="772"/>
      <c r="S34" s="772"/>
      <c r="T34" s="772">
        <v>0</v>
      </c>
      <c r="U34" s="772">
        <v>0</v>
      </c>
      <c r="V34" s="772">
        <v>0</v>
      </c>
      <c r="W34" s="772">
        <v>62500</v>
      </c>
      <c r="X34" s="772">
        <v>77500</v>
      </c>
      <c r="Y34" s="772">
        <v>82500</v>
      </c>
      <c r="Z34" s="772">
        <v>87500</v>
      </c>
      <c r="AA34" s="772">
        <v>92500</v>
      </c>
      <c r="AB34" s="772">
        <v>97500</v>
      </c>
    </row>
    <row r="35" spans="1:28">
      <c r="A35" s="770" t="s">
        <v>763</v>
      </c>
      <c r="B35" s="770"/>
      <c r="C35" s="771"/>
      <c r="D35" s="771"/>
      <c r="E35" s="770"/>
      <c r="F35" s="770"/>
      <c r="G35" s="771"/>
      <c r="H35" s="770"/>
      <c r="I35" s="770"/>
      <c r="J35" s="770"/>
      <c r="K35" s="770"/>
      <c r="L35" s="770"/>
      <c r="M35" s="770"/>
      <c r="N35" s="770"/>
      <c r="O35" s="770"/>
      <c r="P35" s="770"/>
      <c r="Q35" s="774">
        <f t="shared" ref="Q35:Z35" si="20">SUM(Q31:Q34)</f>
        <v>0</v>
      </c>
      <c r="R35" s="774">
        <f t="shared" si="20"/>
        <v>0</v>
      </c>
      <c r="S35" s="774">
        <f t="shared" si="20"/>
        <v>0</v>
      </c>
      <c r="T35" s="774">
        <f t="shared" si="20"/>
        <v>76326</v>
      </c>
      <c r="U35" s="774">
        <f t="shared" si="20"/>
        <v>79126</v>
      </c>
      <c r="V35" s="774">
        <f t="shared" si="20"/>
        <v>85540</v>
      </c>
      <c r="W35" s="774">
        <f t="shared" si="20"/>
        <v>119963</v>
      </c>
      <c r="X35" s="774">
        <f t="shared" si="20"/>
        <v>107554.88499999999</v>
      </c>
      <c r="Y35" s="774">
        <f t="shared" si="20"/>
        <v>113456.53155</v>
      </c>
      <c r="Z35" s="774">
        <f t="shared" si="20"/>
        <v>119385.2274965</v>
      </c>
      <c r="AA35" s="774">
        <f t="shared" ref="AA35:AB35" si="21">SUM(AA31:AA34)</f>
        <v>125341.78432139501</v>
      </c>
      <c r="AB35" s="774">
        <f t="shared" si="21"/>
        <v>131327.03785103685</v>
      </c>
    </row>
    <row r="37" spans="1:28">
      <c r="A37" s="37" t="s">
        <v>762</v>
      </c>
      <c r="B37" s="37" t="s">
        <v>771</v>
      </c>
      <c r="C37" s="761"/>
      <c r="D37" s="761"/>
      <c r="E37" s="37" t="s">
        <v>724</v>
      </c>
      <c r="F37" s="37"/>
      <c r="G37" s="761"/>
      <c r="H37" s="37"/>
      <c r="I37" s="37"/>
      <c r="J37" s="37"/>
      <c r="K37" s="37"/>
      <c r="L37" s="37"/>
      <c r="M37" s="37"/>
      <c r="N37" s="37"/>
      <c r="O37" s="37"/>
      <c r="P37" s="37"/>
      <c r="Q37" s="772">
        <v>0</v>
      </c>
      <c r="R37" s="772">
        <v>0</v>
      </c>
      <c r="S37" s="772">
        <v>0</v>
      </c>
      <c r="T37" s="772">
        <v>31698</v>
      </c>
      <c r="U37" s="772">
        <v>34198</v>
      </c>
      <c r="V37" s="772">
        <v>35198</v>
      </c>
      <c r="W37" s="772">
        <v>1</v>
      </c>
      <c r="X37" s="999">
        <v>0</v>
      </c>
      <c r="Y37" s="999">
        <v>0</v>
      </c>
      <c r="Z37" s="999">
        <v>0</v>
      </c>
      <c r="AA37" s="999">
        <v>0</v>
      </c>
      <c r="AB37" s="999">
        <v>0</v>
      </c>
    </row>
    <row r="38" spans="1:28">
      <c r="A38" s="37" t="s">
        <v>772</v>
      </c>
      <c r="B38" s="37" t="s">
        <v>773</v>
      </c>
      <c r="C38" s="761"/>
      <c r="D38" s="761"/>
      <c r="E38" s="37" t="s">
        <v>716</v>
      </c>
      <c r="F38" s="37" t="s">
        <v>774</v>
      </c>
      <c r="G38" s="761"/>
      <c r="H38" s="37"/>
      <c r="I38" s="37"/>
      <c r="J38" s="37"/>
      <c r="K38" s="37"/>
      <c r="L38" s="37"/>
      <c r="M38" s="37"/>
      <c r="N38" s="37"/>
      <c r="O38" s="37"/>
      <c r="P38" s="37"/>
      <c r="Q38" s="772">
        <v>0</v>
      </c>
      <c r="R38" s="772">
        <v>0</v>
      </c>
      <c r="S38" s="772">
        <v>0</v>
      </c>
      <c r="T38" s="772">
        <v>31508</v>
      </c>
      <c r="U38" s="772">
        <v>31508</v>
      </c>
      <c r="V38" s="772">
        <v>26500</v>
      </c>
      <c r="W38" s="772">
        <v>35456</v>
      </c>
      <c r="X38" s="772">
        <f>(24.68*1.03)*52.5*28</f>
        <v>37367.988000000005</v>
      </c>
      <c r="Y38" s="772">
        <f t="shared" ref="Y38:AB38" si="22">X38*1.03</f>
        <v>38489.027640000008</v>
      </c>
      <c r="Z38" s="772">
        <f t="shared" si="22"/>
        <v>39643.698469200011</v>
      </c>
      <c r="AA38" s="772">
        <f t="shared" si="22"/>
        <v>40833.009423276009</v>
      </c>
      <c r="AB38" s="772">
        <f t="shared" si="22"/>
        <v>42057.999705974289</v>
      </c>
    </row>
    <row r="39" spans="1:28">
      <c r="A39" s="770" t="s">
        <v>771</v>
      </c>
      <c r="B39" s="770"/>
      <c r="C39" s="771"/>
      <c r="D39" s="771"/>
      <c r="E39" s="770"/>
      <c r="F39" s="770"/>
      <c r="G39" s="771"/>
      <c r="H39" s="770"/>
      <c r="I39" s="770"/>
      <c r="J39" s="770"/>
      <c r="K39" s="770"/>
      <c r="L39" s="770"/>
      <c r="M39" s="770"/>
      <c r="N39" s="770"/>
      <c r="O39" s="770"/>
      <c r="P39" s="770"/>
      <c r="Q39" s="774">
        <f t="shared" ref="Q39:Z39" si="23">SUM(Q37:Q38)</f>
        <v>0</v>
      </c>
      <c r="R39" s="774">
        <f t="shared" si="23"/>
        <v>0</v>
      </c>
      <c r="S39" s="774">
        <f t="shared" si="23"/>
        <v>0</v>
      </c>
      <c r="T39" s="774">
        <f t="shared" si="23"/>
        <v>63206</v>
      </c>
      <c r="U39" s="774">
        <f t="shared" si="23"/>
        <v>65706</v>
      </c>
      <c r="V39" s="774">
        <f t="shared" si="23"/>
        <v>61698</v>
      </c>
      <c r="W39" s="774">
        <f t="shared" si="23"/>
        <v>35457</v>
      </c>
      <c r="X39" s="774">
        <f t="shared" si="23"/>
        <v>37367.988000000005</v>
      </c>
      <c r="Y39" s="774">
        <f t="shared" si="23"/>
        <v>38489.027640000008</v>
      </c>
      <c r="Z39" s="774">
        <f t="shared" si="23"/>
        <v>39643.698469200011</v>
      </c>
      <c r="AA39" s="774">
        <f t="shared" ref="AA39:AB39" si="24">SUM(AA37:AA38)</f>
        <v>40833.009423276009</v>
      </c>
      <c r="AB39" s="774">
        <f t="shared" si="24"/>
        <v>42057.999705974289</v>
      </c>
    </row>
    <row r="41" spans="1:28">
      <c r="A41" s="37" t="s">
        <v>775</v>
      </c>
      <c r="B41" s="37" t="s">
        <v>776</v>
      </c>
      <c r="C41" s="761"/>
      <c r="D41" s="761"/>
      <c r="E41" s="37" t="s">
        <v>724</v>
      </c>
      <c r="F41" s="37"/>
      <c r="G41" s="761"/>
      <c r="H41" s="37"/>
      <c r="I41" s="37"/>
      <c r="J41" s="37"/>
      <c r="K41" s="37"/>
      <c r="L41" s="37"/>
      <c r="M41" s="37"/>
      <c r="N41" s="37"/>
      <c r="O41" s="37"/>
      <c r="P41" s="37"/>
      <c r="Q41" s="772">
        <v>0</v>
      </c>
      <c r="R41" s="772">
        <v>0</v>
      </c>
      <c r="S41" s="772">
        <v>0</v>
      </c>
      <c r="T41" s="772">
        <v>31698</v>
      </c>
      <c r="U41" s="772">
        <v>34198</v>
      </c>
      <c r="V41" s="772">
        <v>35198</v>
      </c>
      <c r="W41" s="772">
        <v>40000</v>
      </c>
      <c r="X41" s="772">
        <v>47500</v>
      </c>
      <c r="Y41" s="772">
        <v>55000</v>
      </c>
      <c r="Z41" s="772">
        <v>62500</v>
      </c>
      <c r="AA41" s="772">
        <v>70000</v>
      </c>
      <c r="AB41" s="772">
        <v>77500</v>
      </c>
    </row>
    <row r="42" spans="1:28">
      <c r="A42" s="37" t="s">
        <v>777</v>
      </c>
      <c r="B42" s="37" t="s">
        <v>778</v>
      </c>
      <c r="C42" s="761"/>
      <c r="D42" s="761"/>
      <c r="E42" s="37" t="s">
        <v>716</v>
      </c>
      <c r="F42" s="37" t="s">
        <v>779</v>
      </c>
      <c r="G42" s="761"/>
      <c r="H42" s="37"/>
      <c r="I42" s="37"/>
      <c r="J42" s="37"/>
      <c r="K42" s="37"/>
      <c r="L42" s="37"/>
      <c r="M42" s="37"/>
      <c r="N42" s="37"/>
      <c r="O42" s="37"/>
      <c r="P42" s="37"/>
      <c r="Q42" s="772">
        <v>0</v>
      </c>
      <c r="R42" s="772">
        <v>0</v>
      </c>
      <c r="S42" s="772">
        <v>0</v>
      </c>
      <c r="T42" s="772">
        <v>21542</v>
      </c>
      <c r="U42" s="772">
        <v>24000</v>
      </c>
      <c r="V42" s="772">
        <v>27100</v>
      </c>
      <c r="W42" s="772">
        <v>31057</v>
      </c>
      <c r="X42" s="772">
        <f>(26.32*1.03)*52.5*23</f>
        <v>32734.841999999997</v>
      </c>
      <c r="Y42" s="772">
        <f t="shared" ref="Y42:AB42" si="25">X42*1.03</f>
        <v>33716.887259999996</v>
      </c>
      <c r="Z42" s="772">
        <f t="shared" si="25"/>
        <v>34728.393877799994</v>
      </c>
      <c r="AA42" s="772">
        <f t="shared" si="25"/>
        <v>35770.245694133991</v>
      </c>
      <c r="AB42" s="772">
        <f t="shared" si="25"/>
        <v>36843.353064958013</v>
      </c>
    </row>
    <row r="43" spans="1:28">
      <c r="A43" s="770" t="s">
        <v>776</v>
      </c>
      <c r="B43" s="770"/>
      <c r="C43" s="771"/>
      <c r="D43" s="771"/>
      <c r="E43" s="770"/>
      <c r="F43" s="770"/>
      <c r="G43" s="771"/>
      <c r="H43" s="770"/>
      <c r="I43" s="770"/>
      <c r="J43" s="770"/>
      <c r="K43" s="770"/>
      <c r="L43" s="770"/>
      <c r="M43" s="770"/>
      <c r="N43" s="770"/>
      <c r="O43" s="770"/>
      <c r="P43" s="770"/>
      <c r="Q43" s="774">
        <f t="shared" ref="Q43:Z43" si="26">SUM(Q41:Q42)</f>
        <v>0</v>
      </c>
      <c r="R43" s="774">
        <f t="shared" si="26"/>
        <v>0</v>
      </c>
      <c r="S43" s="774">
        <f t="shared" si="26"/>
        <v>0</v>
      </c>
      <c r="T43" s="774">
        <f t="shared" si="26"/>
        <v>53240</v>
      </c>
      <c r="U43" s="774">
        <f t="shared" si="26"/>
        <v>58198</v>
      </c>
      <c r="V43" s="774">
        <f t="shared" si="26"/>
        <v>62298</v>
      </c>
      <c r="W43" s="774">
        <f t="shared" si="26"/>
        <v>71057</v>
      </c>
      <c r="X43" s="774">
        <f t="shared" si="26"/>
        <v>80234.842000000004</v>
      </c>
      <c r="Y43" s="774">
        <f t="shared" si="26"/>
        <v>88716.887259999989</v>
      </c>
      <c r="Z43" s="774">
        <f t="shared" si="26"/>
        <v>97228.393877800001</v>
      </c>
      <c r="AA43" s="774">
        <f t="shared" ref="AA43:AB43" si="27">SUM(AA41:AA42)</f>
        <v>105770.24569413399</v>
      </c>
      <c r="AB43" s="774">
        <f t="shared" si="27"/>
        <v>114343.35306495801</v>
      </c>
    </row>
    <row r="44" spans="1:28">
      <c r="C44" s="4"/>
      <c r="D44" s="4"/>
      <c r="G44" s="4"/>
    </row>
    <row r="45" spans="1:28">
      <c r="A45" s="37" t="s">
        <v>780</v>
      </c>
      <c r="B45" s="37" t="s">
        <v>781</v>
      </c>
      <c r="C45" s="761"/>
      <c r="D45" s="761"/>
      <c r="E45" s="37" t="s">
        <v>724</v>
      </c>
      <c r="F45" s="37"/>
      <c r="G45" s="761"/>
      <c r="H45" s="37"/>
      <c r="I45" s="37"/>
      <c r="J45" s="37"/>
      <c r="K45" s="37"/>
      <c r="L45" s="37"/>
      <c r="M45" s="37"/>
      <c r="N45" s="37"/>
      <c r="O45" s="37"/>
      <c r="P45" s="37"/>
      <c r="Q45" s="772">
        <v>0</v>
      </c>
      <c r="R45" s="772">
        <v>0</v>
      </c>
      <c r="S45" s="772">
        <v>0</v>
      </c>
      <c r="T45" s="772">
        <f>938/5</f>
        <v>187.6</v>
      </c>
      <c r="U45" s="772">
        <f>1200/5</f>
        <v>240</v>
      </c>
      <c r="V45" s="772">
        <f t="shared" ref="V45:AB45" si="28">1200/5</f>
        <v>240</v>
      </c>
      <c r="W45" s="772">
        <f t="shared" si="28"/>
        <v>240</v>
      </c>
      <c r="X45" s="772">
        <f t="shared" si="28"/>
        <v>240</v>
      </c>
      <c r="Y45" s="772">
        <f t="shared" si="28"/>
        <v>240</v>
      </c>
      <c r="Z45" s="772">
        <f t="shared" si="28"/>
        <v>240</v>
      </c>
      <c r="AA45" s="772">
        <f t="shared" si="28"/>
        <v>240</v>
      </c>
      <c r="AB45" s="772">
        <f t="shared" si="28"/>
        <v>240</v>
      </c>
    </row>
    <row r="46" spans="1:28">
      <c r="A46" s="37" t="s">
        <v>782</v>
      </c>
      <c r="B46" s="37" t="s">
        <v>781</v>
      </c>
      <c r="C46" s="761"/>
      <c r="D46" s="761"/>
      <c r="E46" s="37" t="s">
        <v>724</v>
      </c>
      <c r="F46" s="37"/>
      <c r="G46" s="761"/>
      <c r="H46" s="37"/>
      <c r="I46" s="37"/>
      <c r="J46" s="37"/>
      <c r="K46" s="37"/>
      <c r="L46" s="37"/>
      <c r="M46" s="37"/>
      <c r="N46" s="37"/>
      <c r="O46" s="37"/>
      <c r="P46" s="37"/>
      <c r="Q46" s="772"/>
      <c r="R46" s="772"/>
      <c r="S46" s="772"/>
      <c r="T46" s="772">
        <f t="shared" ref="T46:T49" si="29">938/5</f>
        <v>187.6</v>
      </c>
      <c r="U46" s="772">
        <f t="shared" ref="U46:AB49" si="30">1200/5</f>
        <v>240</v>
      </c>
      <c r="V46" s="772">
        <f t="shared" si="30"/>
        <v>240</v>
      </c>
      <c r="W46" s="772">
        <f t="shared" si="30"/>
        <v>240</v>
      </c>
      <c r="X46" s="772">
        <f t="shared" si="30"/>
        <v>240</v>
      </c>
      <c r="Y46" s="772">
        <f t="shared" si="30"/>
        <v>240</v>
      </c>
      <c r="Z46" s="772">
        <f t="shared" si="30"/>
        <v>240</v>
      </c>
      <c r="AA46" s="772">
        <f t="shared" si="30"/>
        <v>240</v>
      </c>
      <c r="AB46" s="772">
        <f t="shared" si="30"/>
        <v>240</v>
      </c>
    </row>
    <row r="47" spans="1:28">
      <c r="A47" s="37" t="s">
        <v>783</v>
      </c>
      <c r="B47" s="37" t="s">
        <v>781</v>
      </c>
      <c r="C47" s="761"/>
      <c r="D47" s="761"/>
      <c r="E47" s="37" t="s">
        <v>724</v>
      </c>
      <c r="F47" s="37"/>
      <c r="G47" s="761"/>
      <c r="H47" s="37"/>
      <c r="I47" s="37"/>
      <c r="J47" s="37"/>
      <c r="K47" s="37"/>
      <c r="L47" s="37"/>
      <c r="M47" s="37"/>
      <c r="N47" s="37"/>
      <c r="O47" s="37"/>
      <c r="P47" s="37"/>
      <c r="Q47" s="772"/>
      <c r="R47" s="772"/>
      <c r="S47" s="772"/>
      <c r="T47" s="772">
        <f t="shared" si="29"/>
        <v>187.6</v>
      </c>
      <c r="U47" s="772">
        <f t="shared" si="30"/>
        <v>240</v>
      </c>
      <c r="V47" s="772">
        <f t="shared" si="30"/>
        <v>240</v>
      </c>
      <c r="W47" s="772">
        <f t="shared" si="30"/>
        <v>240</v>
      </c>
      <c r="X47" s="772">
        <f t="shared" si="30"/>
        <v>240</v>
      </c>
      <c r="Y47" s="772">
        <f t="shared" si="30"/>
        <v>240</v>
      </c>
      <c r="Z47" s="772">
        <f t="shared" si="30"/>
        <v>240</v>
      </c>
      <c r="AA47" s="772">
        <f t="shared" si="30"/>
        <v>240</v>
      </c>
      <c r="AB47" s="772">
        <f t="shared" si="30"/>
        <v>240</v>
      </c>
    </row>
    <row r="48" spans="1:28">
      <c r="A48" s="37" t="s">
        <v>784</v>
      </c>
      <c r="B48" s="37" t="s">
        <v>781</v>
      </c>
      <c r="C48" s="761"/>
      <c r="D48" s="761"/>
      <c r="E48" s="37" t="s">
        <v>724</v>
      </c>
      <c r="F48" s="37"/>
      <c r="G48" s="761"/>
      <c r="H48" s="37"/>
      <c r="I48" s="37"/>
      <c r="J48" s="37"/>
      <c r="K48" s="37"/>
      <c r="L48" s="37"/>
      <c r="M48" s="37"/>
      <c r="N48" s="37"/>
      <c r="O48" s="37"/>
      <c r="P48" s="37"/>
      <c r="Q48" s="772"/>
      <c r="R48" s="772"/>
      <c r="S48" s="772"/>
      <c r="T48" s="772">
        <f t="shared" si="29"/>
        <v>187.6</v>
      </c>
      <c r="U48" s="772">
        <f t="shared" si="30"/>
        <v>240</v>
      </c>
      <c r="V48" s="772">
        <f t="shared" si="30"/>
        <v>240</v>
      </c>
      <c r="W48" s="772">
        <f t="shared" si="30"/>
        <v>240</v>
      </c>
      <c r="X48" s="772">
        <f t="shared" si="30"/>
        <v>240</v>
      </c>
      <c r="Y48" s="772">
        <f t="shared" si="30"/>
        <v>240</v>
      </c>
      <c r="Z48" s="772">
        <f t="shared" si="30"/>
        <v>240</v>
      </c>
      <c r="AA48" s="772">
        <f t="shared" si="30"/>
        <v>240</v>
      </c>
      <c r="AB48" s="772">
        <f t="shared" si="30"/>
        <v>240</v>
      </c>
    </row>
    <row r="49" spans="1:31">
      <c r="A49" s="37" t="s">
        <v>785</v>
      </c>
      <c r="B49" s="37" t="s">
        <v>781</v>
      </c>
      <c r="C49" s="761"/>
      <c r="D49" s="761"/>
      <c r="E49" s="37" t="s">
        <v>724</v>
      </c>
      <c r="F49" s="37"/>
      <c r="G49" s="761"/>
      <c r="H49" s="37"/>
      <c r="I49" s="37"/>
      <c r="J49" s="37"/>
      <c r="K49" s="37"/>
      <c r="L49" s="37"/>
      <c r="M49" s="37"/>
      <c r="N49" s="37"/>
      <c r="O49" s="37"/>
      <c r="P49" s="37"/>
      <c r="Q49" s="772">
        <v>0</v>
      </c>
      <c r="R49" s="772">
        <v>0</v>
      </c>
      <c r="S49" s="772">
        <v>0</v>
      </c>
      <c r="T49" s="772">
        <f t="shared" si="29"/>
        <v>187.6</v>
      </c>
      <c r="U49" s="772">
        <f t="shared" si="30"/>
        <v>240</v>
      </c>
      <c r="V49" s="772">
        <f t="shared" si="30"/>
        <v>240</v>
      </c>
      <c r="W49" s="772">
        <f t="shared" si="30"/>
        <v>240</v>
      </c>
      <c r="X49" s="772">
        <f t="shared" si="30"/>
        <v>240</v>
      </c>
      <c r="Y49" s="772">
        <f t="shared" si="30"/>
        <v>240</v>
      </c>
      <c r="Z49" s="772">
        <f t="shared" si="30"/>
        <v>240</v>
      </c>
      <c r="AA49" s="772">
        <f t="shared" si="30"/>
        <v>240</v>
      </c>
      <c r="AB49" s="772">
        <f t="shared" si="30"/>
        <v>240</v>
      </c>
    </row>
    <row r="50" spans="1:31">
      <c r="A50" s="770" t="s">
        <v>786</v>
      </c>
      <c r="B50" s="770"/>
      <c r="C50" s="771"/>
      <c r="D50" s="771"/>
      <c r="E50" s="770"/>
      <c r="F50" s="770"/>
      <c r="G50" s="771"/>
      <c r="H50" s="770"/>
      <c r="I50" s="770"/>
      <c r="J50" s="770"/>
      <c r="K50" s="770"/>
      <c r="L50" s="770"/>
      <c r="M50" s="770"/>
      <c r="N50" s="770"/>
      <c r="O50" s="770"/>
      <c r="P50" s="770"/>
      <c r="Q50" s="774">
        <f t="shared" ref="Q50:Z50" si="31">SUM(Q45:Q49)</f>
        <v>0</v>
      </c>
      <c r="R50" s="774">
        <f t="shared" si="31"/>
        <v>0</v>
      </c>
      <c r="S50" s="774">
        <f t="shared" si="31"/>
        <v>0</v>
      </c>
      <c r="T50" s="774">
        <f t="shared" si="31"/>
        <v>938</v>
      </c>
      <c r="U50" s="774">
        <f t="shared" si="31"/>
        <v>1200</v>
      </c>
      <c r="V50" s="774">
        <f t="shared" si="31"/>
        <v>1200</v>
      </c>
      <c r="W50" s="774">
        <f t="shared" si="31"/>
        <v>1200</v>
      </c>
      <c r="X50" s="774">
        <f t="shared" si="31"/>
        <v>1200</v>
      </c>
      <c r="Y50" s="774">
        <f t="shared" si="31"/>
        <v>1200</v>
      </c>
      <c r="Z50" s="774">
        <f t="shared" si="31"/>
        <v>1200</v>
      </c>
      <c r="AA50" s="774">
        <f t="shared" ref="AA50:AB50" si="32">SUM(AA45:AA49)</f>
        <v>1200</v>
      </c>
      <c r="AB50" s="774">
        <f t="shared" si="32"/>
        <v>1200</v>
      </c>
    </row>
    <row r="51" spans="1:31">
      <c r="AE51" s="11"/>
    </row>
    <row r="52" spans="1:31">
      <c r="A52" s="37" t="s">
        <v>787</v>
      </c>
      <c r="B52" s="37" t="s">
        <v>788</v>
      </c>
      <c r="C52" s="761"/>
      <c r="D52" s="761"/>
      <c r="E52" s="37" t="s">
        <v>716</v>
      </c>
      <c r="F52" s="37" t="s">
        <v>789</v>
      </c>
      <c r="G52" s="761"/>
      <c r="H52" s="37"/>
      <c r="I52" s="37"/>
      <c r="J52" s="37"/>
      <c r="K52" s="37"/>
      <c r="L52" s="37"/>
      <c r="M52" s="37"/>
      <c r="N52" s="37"/>
      <c r="O52" s="37"/>
      <c r="P52" s="37"/>
      <c r="Q52" s="772">
        <v>0</v>
      </c>
      <c r="R52" s="772">
        <v>0</v>
      </c>
      <c r="S52" s="772">
        <v>0</v>
      </c>
      <c r="T52" s="772">
        <v>12000</v>
      </c>
      <c r="U52" s="772">
        <v>12000</v>
      </c>
      <c r="V52" s="772">
        <v>18305</v>
      </c>
      <c r="W52" s="772">
        <v>18305</v>
      </c>
      <c r="X52" s="772">
        <f>(22.25*1.03)*52.5*16</f>
        <v>19250.7</v>
      </c>
      <c r="Y52" s="772">
        <f t="shared" ref="Y52:AB52" si="33">X52*1.03</f>
        <v>19828.221000000001</v>
      </c>
      <c r="Z52" s="772">
        <f t="shared" si="33"/>
        <v>20423.067630000001</v>
      </c>
      <c r="AA52" s="772">
        <f t="shared" si="33"/>
        <v>21035.759658900002</v>
      </c>
      <c r="AB52" s="772">
        <f t="shared" si="33"/>
        <v>21666.832448667003</v>
      </c>
    </row>
    <row r="53" spans="1:31">
      <c r="A53" s="770" t="s">
        <v>790</v>
      </c>
      <c r="B53" s="770"/>
      <c r="C53" s="771"/>
      <c r="D53" s="771"/>
      <c r="E53" s="770"/>
      <c r="F53" s="770"/>
      <c r="G53" s="771"/>
      <c r="H53" s="770"/>
      <c r="I53" s="770"/>
      <c r="J53" s="770"/>
      <c r="K53" s="770"/>
      <c r="L53" s="770"/>
      <c r="M53" s="770"/>
      <c r="N53" s="770"/>
      <c r="O53" s="770"/>
      <c r="P53" s="770"/>
      <c r="Q53" s="774">
        <f t="shared" ref="Q53:Z53" si="34">SUM(Q52:Q52)</f>
        <v>0</v>
      </c>
      <c r="R53" s="774">
        <f t="shared" si="34"/>
        <v>0</v>
      </c>
      <c r="S53" s="774">
        <f t="shared" si="34"/>
        <v>0</v>
      </c>
      <c r="T53" s="774">
        <f t="shared" si="34"/>
        <v>12000</v>
      </c>
      <c r="U53" s="774">
        <f t="shared" si="34"/>
        <v>12000</v>
      </c>
      <c r="V53" s="774">
        <f t="shared" si="34"/>
        <v>18305</v>
      </c>
      <c r="W53" s="774">
        <f t="shared" si="34"/>
        <v>18305</v>
      </c>
      <c r="X53" s="774">
        <f>SUM(X52:X52)</f>
        <v>19250.7</v>
      </c>
      <c r="Y53" s="774">
        <f t="shared" si="34"/>
        <v>19828.221000000001</v>
      </c>
      <c r="Z53" s="774">
        <f t="shared" si="34"/>
        <v>20423.067630000001</v>
      </c>
      <c r="AA53" s="774">
        <f t="shared" ref="AA53:AB53" si="35">SUM(AA52:AA52)</f>
        <v>21035.759658900002</v>
      </c>
      <c r="AB53" s="774">
        <f t="shared" si="35"/>
        <v>21666.832448667003</v>
      </c>
    </row>
    <row r="55" spans="1:31">
      <c r="A55" s="758" t="s">
        <v>473</v>
      </c>
      <c r="B55" s="758"/>
      <c r="C55" s="759"/>
      <c r="D55" s="759"/>
      <c r="E55" s="758"/>
      <c r="F55" s="758"/>
      <c r="G55" s="759"/>
      <c r="H55" s="758"/>
      <c r="I55" s="758"/>
      <c r="J55" s="758"/>
      <c r="K55" s="758"/>
      <c r="L55" s="758"/>
      <c r="M55" s="758"/>
      <c r="N55" s="758"/>
      <c r="O55" s="758"/>
      <c r="P55" s="758"/>
      <c r="Q55" s="760"/>
      <c r="R55" s="760"/>
      <c r="S55" s="760"/>
      <c r="T55" s="760"/>
      <c r="U55" s="760"/>
      <c r="V55" s="760"/>
      <c r="W55" s="760"/>
      <c r="X55" s="760"/>
      <c r="Y55" s="760"/>
      <c r="Z55" s="760"/>
      <c r="AA55" s="760"/>
      <c r="AB55" s="760"/>
    </row>
    <row r="56" spans="1:31">
      <c r="A56" s="762"/>
      <c r="B56" s="762"/>
      <c r="C56" s="763"/>
      <c r="D56" s="763"/>
      <c r="E56" s="764" t="s">
        <v>724</v>
      </c>
      <c r="F56" s="764"/>
      <c r="G56" s="765"/>
      <c r="H56" s="764"/>
      <c r="I56" s="764"/>
      <c r="J56" s="764"/>
      <c r="K56" s="764"/>
      <c r="L56" s="764"/>
      <c r="M56" s="764"/>
      <c r="N56" s="764"/>
      <c r="O56" s="764"/>
      <c r="P56" s="764"/>
      <c r="Q56" s="775">
        <f>+Q11+Q12+Q13</f>
        <v>0</v>
      </c>
      <c r="R56" s="775">
        <f>+R11+R12+R13</f>
        <v>0</v>
      </c>
      <c r="S56" s="775">
        <f>+S11+S12+S13</f>
        <v>0</v>
      </c>
      <c r="T56" s="775">
        <f>SUMIF(E8:E52, "Elected", T8:T53)</f>
        <v>119224.00000000003</v>
      </c>
      <c r="U56" s="775">
        <f>SUMIF(E8:E53, "Elected", U8:U53)</f>
        <v>127896</v>
      </c>
      <c r="V56" s="775">
        <f>SUMIF(E8:E52, "Elected", V8:V53)</f>
        <v>131136</v>
      </c>
      <c r="W56" s="775">
        <f>SUMIF(E8:E52, "Elected", W8:W53)</f>
        <v>71715</v>
      </c>
      <c r="X56" s="775">
        <f>SUMIF(E8:E52, "Elected", X8:X53)</f>
        <v>73598.92</v>
      </c>
      <c r="Y56" s="775">
        <f>SUMIF(E8:E52, "Elected", Y8:Y53)</f>
        <v>81354.858399999997</v>
      </c>
      <c r="Z56" s="775">
        <f>SUMIF(E8:E52, "Elected", Z8:Z53)</f>
        <v>89115.915567999997</v>
      </c>
      <c r="AA56" s="775">
        <f>SUMIF(E8:E52, "Elected", AA8:AA53)</f>
        <v>96882.193879359998</v>
      </c>
      <c r="AB56" s="775">
        <f>SUMIF(E8:E52, "Elected", AB8:AB53)</f>
        <v>104653.7977569472</v>
      </c>
    </row>
    <row r="57" spans="1:31">
      <c r="A57" s="762"/>
      <c r="B57" s="762"/>
      <c r="C57" s="763"/>
      <c r="D57" s="763"/>
      <c r="E57" s="764" t="s">
        <v>740</v>
      </c>
      <c r="F57" s="764"/>
      <c r="G57" s="765"/>
      <c r="H57" s="764"/>
      <c r="I57" s="764"/>
      <c r="J57" s="764"/>
      <c r="K57" s="764"/>
      <c r="L57" s="764"/>
      <c r="M57" s="764"/>
      <c r="N57" s="764"/>
      <c r="O57" s="764"/>
      <c r="P57" s="764"/>
      <c r="Q57" s="775">
        <f>+Q14</f>
        <v>0</v>
      </c>
      <c r="R57" s="775">
        <f>+R14</f>
        <v>0</v>
      </c>
      <c r="S57" s="775">
        <f>+S14</f>
        <v>0</v>
      </c>
      <c r="T57" s="775">
        <f>SUMIF(E8:E52, "Contract", T8:T52)</f>
        <v>161171</v>
      </c>
      <c r="U57" s="775">
        <f>SUMIF(E8:E52, "Contract", U8:U52)</f>
        <v>155671</v>
      </c>
      <c r="V57" s="775">
        <f>SUMIF(E8:E52, "Contract", V8:V52)</f>
        <v>172500</v>
      </c>
      <c r="W57" s="775">
        <f>SUMIF(E8:E52, "Contract", W8:W53)</f>
        <v>277500</v>
      </c>
      <c r="X57" s="775">
        <f>SUMIF(E8:E52, "Contract", X8:X53)</f>
        <v>330000</v>
      </c>
      <c r="Y57" s="775">
        <f>SUMIF(E8:E52, "Contract", Y8:Y53)</f>
        <v>347500</v>
      </c>
      <c r="Z57" s="775">
        <f>SUMIF(E8:E52, "Contract", Z8:Z53)</f>
        <v>365000</v>
      </c>
      <c r="AA57" s="775">
        <f>SUMIF(E8:E52, "Contract", AA8:AA53)</f>
        <v>382500</v>
      </c>
      <c r="AB57" s="775">
        <f>SUMIF(E8:E52, "Contract", AB8:AB53)</f>
        <v>400000</v>
      </c>
    </row>
    <row r="58" spans="1:31">
      <c r="A58" s="762"/>
      <c r="B58" s="762"/>
      <c r="C58" s="763"/>
      <c r="D58" s="763"/>
      <c r="E58" s="764" t="s">
        <v>716</v>
      </c>
      <c r="F58" s="764"/>
      <c r="G58" s="765"/>
      <c r="H58" s="764"/>
      <c r="I58" s="764"/>
      <c r="J58" s="764"/>
      <c r="K58" s="764"/>
      <c r="L58" s="764"/>
      <c r="M58" s="764"/>
      <c r="N58" s="764"/>
      <c r="O58" s="764"/>
      <c r="P58" s="764"/>
      <c r="Q58" s="775">
        <f>+Q16+Q19</f>
        <v>0</v>
      </c>
      <c r="R58" s="775">
        <f>+R16+R19</f>
        <v>0</v>
      </c>
      <c r="S58" s="775">
        <f>+S16+S19</f>
        <v>0</v>
      </c>
      <c r="T58" s="775">
        <f>SUMIF(E8:E52, "Exempt", T8:T53)</f>
        <v>141230</v>
      </c>
      <c r="U58" s="775">
        <f>SUMIF(E8:E52, "Exempt", U8:U53)</f>
        <v>140508</v>
      </c>
      <c r="V58" s="775">
        <f>SUMIF(E8:E52, "Exempt", V8:V53)</f>
        <v>168034</v>
      </c>
      <c r="W58" s="775">
        <f>SUMIF(E8:E52, "Exempt", W8:W53)</f>
        <v>138591</v>
      </c>
      <c r="X58" s="775">
        <f>SUMIF(E8:E52, "Exempt", X8:X53)</f>
        <v>192466.41500000001</v>
      </c>
      <c r="Y58" s="775">
        <f>SUMIF(E8:E52, "Exempt", Y8:Y53)</f>
        <v>198240.40745</v>
      </c>
      <c r="Z58" s="775">
        <f>SUMIF(E8:E52, "Exempt", Z8:Z53)</f>
        <v>204187.61967350004</v>
      </c>
      <c r="AA58" s="775">
        <f>SUMIF(E8:E52, "Exempt", AA8:AA53)</f>
        <v>210313.24826370503</v>
      </c>
      <c r="AB58" s="775">
        <f>SUMIF(E8:E52, "Exempt", AB8:AB53)</f>
        <v>216622.64571161618</v>
      </c>
    </row>
    <row r="59" spans="1:31">
      <c r="A59" s="762"/>
      <c r="B59" s="762"/>
      <c r="C59" s="763"/>
      <c r="D59" s="763"/>
      <c r="E59" s="764" t="s">
        <v>768</v>
      </c>
      <c r="F59" s="764"/>
      <c r="G59" s="765"/>
      <c r="H59" s="764"/>
      <c r="I59" s="764"/>
      <c r="J59" s="764"/>
      <c r="K59" s="764"/>
      <c r="L59" s="764"/>
      <c r="M59" s="764"/>
      <c r="N59" s="764"/>
      <c r="O59" s="764"/>
      <c r="P59" s="764"/>
      <c r="Q59" s="775">
        <f t="shared" ref="Q59:S60" si="36">+Q20</f>
        <v>0</v>
      </c>
      <c r="R59" s="775">
        <f t="shared" si="36"/>
        <v>0</v>
      </c>
      <c r="S59" s="775">
        <f t="shared" si="36"/>
        <v>0</v>
      </c>
      <c r="T59" s="775">
        <f>SUMIF(E8:E52, "Union", T8:T53)</f>
        <v>19928</v>
      </c>
      <c r="U59" s="775">
        <f>SUMIF(E8:E52, "Union", U8:U53)</f>
        <v>19928</v>
      </c>
      <c r="V59" s="775">
        <f>SUMIF(E8:E52, "Union", V8:V53)</f>
        <v>23000</v>
      </c>
      <c r="W59" s="775">
        <f>SUMIF(E8:E52, "Union", W8:W53)</f>
        <v>22417</v>
      </c>
      <c r="X59" s="775">
        <f>SUMIF(E8:E52, "Union", X8:X53)</f>
        <v>0</v>
      </c>
      <c r="Y59" s="775">
        <f t="shared" ref="Y59" si="37">SUMIF(G8:G52, "Union", Y8:Y53)</f>
        <v>0</v>
      </c>
      <c r="Z59" s="775">
        <f t="shared" ref="Z59" si="38">SUMIF(G8:G52, "Union", Z8:Z53)</f>
        <v>0</v>
      </c>
      <c r="AA59" s="775">
        <f>SUMIF(E8:E52, "Union", AA8:AA53)</f>
        <v>0</v>
      </c>
      <c r="AB59" s="775">
        <f>SUMIF(E8:E52, "Union", AB8:AB53)</f>
        <v>0</v>
      </c>
    </row>
    <row r="60" spans="1:31">
      <c r="A60" s="762"/>
      <c r="B60" s="762"/>
      <c r="C60" s="763"/>
      <c r="D60" s="763"/>
      <c r="E60" s="764" t="s">
        <v>291</v>
      </c>
      <c r="F60" s="764"/>
      <c r="G60" s="765"/>
      <c r="H60" s="764"/>
      <c r="I60" s="764"/>
      <c r="J60" s="764"/>
      <c r="K60" s="764"/>
      <c r="L60" s="764"/>
      <c r="M60" s="764"/>
      <c r="N60" s="764"/>
      <c r="O60" s="764"/>
      <c r="P60" s="764"/>
      <c r="Q60" s="775">
        <f t="shared" si="36"/>
        <v>0</v>
      </c>
      <c r="R60" s="775">
        <f t="shared" si="36"/>
        <v>0</v>
      </c>
      <c r="S60" s="775">
        <f t="shared" si="36"/>
        <v>0</v>
      </c>
      <c r="T60" s="775">
        <f t="shared" ref="T60:V60" si="39">SUM(T56:T59)</f>
        <v>441553</v>
      </c>
      <c r="U60" s="775">
        <f t="shared" si="39"/>
        <v>444003</v>
      </c>
      <c r="V60" s="775">
        <f t="shared" si="39"/>
        <v>494670</v>
      </c>
      <c r="W60" s="775">
        <f>SUM(W56:W59)</f>
        <v>510223</v>
      </c>
      <c r="X60" s="775">
        <f>SUM(X56:X59)</f>
        <v>596065.33499999996</v>
      </c>
      <c r="Y60" s="775">
        <f t="shared" ref="Y60:AB60" si="40">SUM(Y56:Y59)</f>
        <v>627095.26585000008</v>
      </c>
      <c r="Z60" s="775">
        <f t="shared" si="40"/>
        <v>658303.53524150001</v>
      </c>
      <c r="AA60" s="775">
        <f t="shared" si="40"/>
        <v>689695.44214306504</v>
      </c>
      <c r="AB60" s="775">
        <f t="shared" si="40"/>
        <v>721276.44346856338</v>
      </c>
    </row>
    <row r="61" spans="1:31">
      <c r="A61" s="361"/>
      <c r="B61" s="361"/>
      <c r="C61" s="970"/>
      <c r="D61" s="970"/>
      <c r="G61" s="4"/>
    </row>
    <row r="62" spans="1:31">
      <c r="A62" s="106"/>
      <c r="B62" s="106"/>
      <c r="C62" s="233"/>
      <c r="D62" s="233"/>
      <c r="E62" s="106" t="s">
        <v>716</v>
      </c>
      <c r="F62" s="106"/>
      <c r="G62" s="233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</row>
    <row r="63" spans="1:31">
      <c r="A63" s="106"/>
      <c r="B63" s="106"/>
      <c r="C63" s="233" t="s">
        <v>717</v>
      </c>
      <c r="D63" s="233" t="s">
        <v>718</v>
      </c>
      <c r="E63" s="106" t="s">
        <v>719</v>
      </c>
      <c r="F63" s="106" t="s">
        <v>720</v>
      </c>
      <c r="G63" s="233" t="s">
        <v>721</v>
      </c>
      <c r="H63" s="106"/>
      <c r="I63" s="106"/>
      <c r="J63" s="106"/>
      <c r="K63" s="106"/>
      <c r="L63" s="106"/>
      <c r="M63" s="106"/>
      <c r="N63" s="106"/>
      <c r="O63" s="106"/>
      <c r="P63" s="106"/>
      <c r="Q63" s="99" t="s">
        <v>96</v>
      </c>
      <c r="R63" s="99" t="s">
        <v>97</v>
      </c>
      <c r="S63" s="99" t="s">
        <v>98</v>
      </c>
      <c r="T63" s="99" t="s">
        <v>99</v>
      </c>
      <c r="U63" s="99" t="s">
        <v>100</v>
      </c>
      <c r="V63" s="99" t="s">
        <v>101</v>
      </c>
      <c r="W63" s="99" t="s">
        <v>102</v>
      </c>
      <c r="X63" s="99" t="s">
        <v>103</v>
      </c>
      <c r="Y63" s="99" t="s">
        <v>104</v>
      </c>
      <c r="Z63" s="99" t="s">
        <v>105</v>
      </c>
      <c r="AA63" s="99" t="s">
        <v>106</v>
      </c>
      <c r="AB63" s="99" t="s">
        <v>107</v>
      </c>
    </row>
    <row r="64" spans="1:31">
      <c r="A64" s="106" t="s">
        <v>722</v>
      </c>
      <c r="B64" s="106" t="s">
        <v>723</v>
      </c>
      <c r="C64" s="233" t="s">
        <v>75</v>
      </c>
      <c r="D64" s="233" t="s">
        <v>75</v>
      </c>
      <c r="E64" s="106" t="s">
        <v>724</v>
      </c>
      <c r="F64" s="106" t="s">
        <v>725</v>
      </c>
      <c r="G64" s="233" t="s">
        <v>75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254" t="s">
        <v>158</v>
      </c>
      <c r="R64" s="254" t="s">
        <v>158</v>
      </c>
      <c r="S64" s="254" t="s">
        <v>158</v>
      </c>
      <c r="T64" s="254" t="s">
        <v>158</v>
      </c>
      <c r="U64" s="254" t="s">
        <v>158</v>
      </c>
      <c r="V64" s="99" t="s">
        <v>158</v>
      </c>
      <c r="W64" s="99" t="s">
        <v>158</v>
      </c>
      <c r="X64" s="99" t="s">
        <v>159</v>
      </c>
      <c r="Y64" s="99" t="s">
        <v>159</v>
      </c>
      <c r="Z64" s="99" t="s">
        <v>159</v>
      </c>
      <c r="AA64" s="99" t="s">
        <v>159</v>
      </c>
      <c r="AB64" s="99" t="s">
        <v>159</v>
      </c>
    </row>
    <row r="65" spans="1:28">
      <c r="E65" s="106" t="s">
        <v>726</v>
      </c>
    </row>
    <row r="66" spans="1:28">
      <c r="A66" s="106"/>
      <c r="B66" s="106"/>
      <c r="C66" s="233"/>
      <c r="D66" s="233"/>
      <c r="E66" s="106" t="s">
        <v>727</v>
      </c>
      <c r="F66" s="106"/>
      <c r="G66" s="233"/>
      <c r="H66" s="106"/>
      <c r="I66" s="106"/>
      <c r="J66" s="106"/>
      <c r="K66" s="106"/>
      <c r="L66" s="106"/>
      <c r="M66" s="106"/>
      <c r="N66" s="106"/>
      <c r="O66" s="106"/>
      <c r="P66" s="106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</row>
    <row r="68" spans="1:28">
      <c r="A68" s="37" t="s">
        <v>791</v>
      </c>
      <c r="B68" s="37" t="s">
        <v>792</v>
      </c>
      <c r="C68" s="761"/>
      <c r="D68" s="761"/>
      <c r="E68" s="37" t="s">
        <v>740</v>
      </c>
      <c r="F68" s="37"/>
      <c r="G68" s="761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980">
        <v>21320</v>
      </c>
      <c r="U68" s="980">
        <v>21320</v>
      </c>
      <c r="V68" s="980">
        <v>24440</v>
      </c>
      <c r="W68" s="980">
        <v>24733</v>
      </c>
      <c r="X68" s="979">
        <v>80000</v>
      </c>
      <c r="Y68" s="37"/>
      <c r="Z68" s="37"/>
      <c r="AA68" s="37"/>
      <c r="AB68" s="37"/>
    </row>
    <row r="69" spans="1:28">
      <c r="A69" s="4" t="s">
        <v>793</v>
      </c>
      <c r="B69" s="37" t="s">
        <v>794</v>
      </c>
      <c r="C69" s="761"/>
      <c r="D69" s="761"/>
      <c r="E69" s="37" t="s">
        <v>768</v>
      </c>
      <c r="F69" s="37" t="s">
        <v>795</v>
      </c>
      <c r="G69" s="761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980">
        <v>22148</v>
      </c>
      <c r="U69" s="980">
        <v>19310</v>
      </c>
      <c r="V69" s="980">
        <v>22400</v>
      </c>
      <c r="W69" s="980">
        <v>26396</v>
      </c>
      <c r="X69" s="979">
        <f>(21.86*1.03)*52.5*23</f>
        <v>27187.828499999996</v>
      </c>
      <c r="Y69" s="37"/>
      <c r="Z69" s="37"/>
      <c r="AA69" s="37"/>
      <c r="AB69" s="37"/>
    </row>
    <row r="70" spans="1:28">
      <c r="A70" s="981" t="s">
        <v>796</v>
      </c>
      <c r="B70" s="981"/>
      <c r="C70" s="982"/>
      <c r="D70" s="982"/>
      <c r="E70" s="981"/>
      <c r="F70" s="981"/>
      <c r="G70" s="982"/>
      <c r="H70" s="981"/>
      <c r="I70" s="981"/>
      <c r="J70" s="981"/>
      <c r="K70" s="981"/>
      <c r="L70" s="981"/>
      <c r="M70" s="981"/>
      <c r="N70" s="981"/>
      <c r="O70" s="981"/>
      <c r="P70" s="981"/>
      <c r="Q70" s="983" t="e">
        <f>SUM(Q71:Q135)</f>
        <v>#REF!</v>
      </c>
      <c r="R70" s="983" t="e">
        <f>SUM(R71:R135)</f>
        <v>#REF!</v>
      </c>
      <c r="S70" s="983">
        <f>SUM(S71:S135)</f>
        <v>0</v>
      </c>
      <c r="T70" s="983">
        <f>SUM(T68:T69)</f>
        <v>43468</v>
      </c>
      <c r="U70" s="983">
        <f t="shared" ref="U70:W70" si="41">SUM(U68:U69)</f>
        <v>40630</v>
      </c>
      <c r="V70" s="983">
        <f t="shared" si="41"/>
        <v>46840</v>
      </c>
      <c r="W70" s="983">
        <f t="shared" si="41"/>
        <v>51129</v>
      </c>
      <c r="X70" s="983">
        <f>SUM(X68:X69)</f>
        <v>107187.8285</v>
      </c>
      <c r="Y70" s="983">
        <f>SUM(Y71:Y135)</f>
        <v>0</v>
      </c>
      <c r="Z70" s="983">
        <f>SUM(Z71:Z135)</f>
        <v>0</v>
      </c>
      <c r="AA70" s="983">
        <f>SUM(AA71:AA135)</f>
        <v>0</v>
      </c>
      <c r="AB70" s="983">
        <f>SUM(AB71:AB135)</f>
        <v>0</v>
      </c>
    </row>
    <row r="71" spans="1:28">
      <c r="Q71" s="973"/>
      <c r="R71" s="973"/>
      <c r="S71" s="973"/>
      <c r="T71" s="973"/>
      <c r="U71" s="973"/>
      <c r="V71" s="973"/>
      <c r="W71" s="973"/>
      <c r="X71" s="973"/>
      <c r="Y71" s="973"/>
      <c r="Z71" s="973"/>
      <c r="AA71" s="973"/>
      <c r="AB71" s="973"/>
    </row>
    <row r="72" spans="1:28">
      <c r="A72" s="37" t="s">
        <v>797</v>
      </c>
      <c r="B72" s="37" t="s">
        <v>798</v>
      </c>
      <c r="C72" s="761"/>
      <c r="D72" s="761"/>
      <c r="E72" s="37" t="s">
        <v>740</v>
      </c>
      <c r="F72" s="37"/>
      <c r="G72" s="761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980">
        <v>158996</v>
      </c>
      <c r="U72" s="980">
        <v>125000</v>
      </c>
      <c r="V72" s="980">
        <v>180510</v>
      </c>
      <c r="W72" s="980">
        <v>180510</v>
      </c>
      <c r="X72" s="979">
        <f>W72*1.02</f>
        <v>184120.2</v>
      </c>
      <c r="Y72" s="37"/>
      <c r="Z72" s="37"/>
      <c r="AA72" s="37"/>
      <c r="AB72" s="37"/>
    </row>
    <row r="73" spans="1:28">
      <c r="A73" s="989" t="s">
        <v>746</v>
      </c>
      <c r="B73" s="989" t="s">
        <v>799</v>
      </c>
      <c r="C73" s="990"/>
      <c r="D73" s="990"/>
      <c r="E73" s="989" t="s">
        <v>740</v>
      </c>
      <c r="F73" s="989"/>
      <c r="G73" s="990"/>
      <c r="H73" s="989"/>
      <c r="I73" s="989"/>
      <c r="J73" s="989"/>
      <c r="K73" s="989"/>
      <c r="L73" s="989"/>
      <c r="M73" s="989"/>
      <c r="N73" s="989"/>
      <c r="O73" s="989"/>
      <c r="P73" s="989"/>
      <c r="Q73" s="989"/>
      <c r="R73" s="989"/>
      <c r="S73" s="989"/>
      <c r="T73" s="989">
        <v>0</v>
      </c>
      <c r="U73" s="989">
        <v>0</v>
      </c>
      <c r="V73" s="991">
        <v>137280</v>
      </c>
      <c r="W73" s="991">
        <v>137280</v>
      </c>
      <c r="X73" s="979">
        <v>0</v>
      </c>
      <c r="Y73" s="37"/>
      <c r="Z73" s="37"/>
      <c r="AA73" s="37"/>
      <c r="AB73" s="37"/>
    </row>
    <row r="74" spans="1:28">
      <c r="A74" s="37"/>
      <c r="B74" s="37" t="s">
        <v>800</v>
      </c>
      <c r="C74" s="761"/>
      <c r="D74" s="761"/>
      <c r="E74" s="37" t="s">
        <v>768</v>
      </c>
      <c r="F74" s="37" t="s">
        <v>801</v>
      </c>
      <c r="G74" s="761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980"/>
      <c r="U74" s="980"/>
      <c r="V74" s="980">
        <v>133264.48000000001</v>
      </c>
      <c r="W74" s="980">
        <v>133264.48000000001</v>
      </c>
      <c r="X74" s="979">
        <f>W74*1.05</f>
        <v>139927.70400000003</v>
      </c>
      <c r="Y74" s="37"/>
      <c r="Z74" s="37"/>
      <c r="AA74" s="37"/>
      <c r="AB74" s="37"/>
    </row>
    <row r="75" spans="1:28">
      <c r="A75" s="37"/>
      <c r="B75" s="37" t="s">
        <v>802</v>
      </c>
      <c r="C75" s="761"/>
      <c r="D75" s="761"/>
      <c r="E75" s="37" t="s">
        <v>768</v>
      </c>
      <c r="F75" s="37" t="s">
        <v>803</v>
      </c>
      <c r="G75" s="761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980"/>
      <c r="U75" s="980"/>
      <c r="V75" s="980">
        <v>121801.68</v>
      </c>
      <c r="W75" s="980">
        <v>121801.68</v>
      </c>
      <c r="X75" s="979">
        <f t="shared" ref="X75:X83" si="42">W75*1.05</f>
        <v>127891.764</v>
      </c>
      <c r="Y75" s="37"/>
      <c r="Z75" s="37"/>
      <c r="AA75" s="37"/>
      <c r="AB75" s="37"/>
    </row>
    <row r="76" spans="1:28">
      <c r="B76" s="37" t="s">
        <v>802</v>
      </c>
      <c r="C76" s="761"/>
      <c r="D76" s="761"/>
      <c r="E76" s="37" t="s">
        <v>768</v>
      </c>
      <c r="F76" s="37" t="s">
        <v>804</v>
      </c>
      <c r="G76" s="761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980"/>
      <c r="U76" s="980"/>
      <c r="V76" s="980">
        <v>95478.24</v>
      </c>
      <c r="W76" s="980">
        <v>95478.24</v>
      </c>
      <c r="X76" s="979">
        <f t="shared" si="42"/>
        <v>100252.15200000002</v>
      </c>
      <c r="Y76" s="37"/>
      <c r="Z76" s="37"/>
      <c r="AA76" s="37"/>
      <c r="AB76" s="37"/>
    </row>
    <row r="77" spans="1:28">
      <c r="A77" s="989" t="s">
        <v>746</v>
      </c>
      <c r="B77" s="992" t="s">
        <v>802</v>
      </c>
      <c r="C77" s="990"/>
      <c r="D77" s="990"/>
      <c r="E77" s="989" t="s">
        <v>768</v>
      </c>
      <c r="F77" s="989" t="s">
        <v>804</v>
      </c>
      <c r="G77" s="990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91"/>
      <c r="U77" s="991"/>
      <c r="V77" s="991">
        <v>124121.71</v>
      </c>
      <c r="W77" s="991">
        <v>124121.71</v>
      </c>
      <c r="X77" s="979">
        <v>0</v>
      </c>
      <c r="Y77" s="37"/>
      <c r="Z77" s="979"/>
      <c r="AA77" s="37"/>
      <c r="AB77" s="37"/>
    </row>
    <row r="78" spans="1:28">
      <c r="B78" s="37" t="s">
        <v>805</v>
      </c>
      <c r="C78" s="761"/>
      <c r="D78" s="761"/>
      <c r="E78" s="37" t="s">
        <v>768</v>
      </c>
      <c r="F78" s="37" t="s">
        <v>806</v>
      </c>
      <c r="G78" s="761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980"/>
      <c r="U78" s="980"/>
      <c r="V78" s="980">
        <v>78864.240000000005</v>
      </c>
      <c r="W78" s="980">
        <v>78864.240000000005</v>
      </c>
      <c r="X78" s="979">
        <f t="shared" si="42"/>
        <v>82807.452000000005</v>
      </c>
      <c r="Y78" s="37"/>
      <c r="Z78" s="37"/>
      <c r="AA78" s="37"/>
      <c r="AB78" s="37"/>
    </row>
    <row r="79" spans="1:28">
      <c r="A79" s="37"/>
      <c r="B79" s="37" t="s">
        <v>805</v>
      </c>
      <c r="C79" s="761"/>
      <c r="D79" s="761"/>
      <c r="E79" s="37" t="s">
        <v>768</v>
      </c>
      <c r="F79" s="37" t="s">
        <v>807</v>
      </c>
      <c r="G79" s="761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980"/>
      <c r="U79" s="980"/>
      <c r="V79" s="980">
        <v>86750.66</v>
      </c>
      <c r="W79" s="980">
        <v>86750.66</v>
      </c>
      <c r="X79" s="979">
        <f t="shared" si="42"/>
        <v>91088.193000000014</v>
      </c>
      <c r="Y79" s="37"/>
      <c r="Z79" s="37"/>
      <c r="AA79" s="37"/>
      <c r="AB79" s="37"/>
    </row>
    <row r="80" spans="1:28">
      <c r="B80" s="37" t="s">
        <v>808</v>
      </c>
      <c r="C80" s="761"/>
      <c r="D80" s="761"/>
      <c r="E80" s="37" t="s">
        <v>768</v>
      </c>
      <c r="F80" s="37" t="s">
        <v>806</v>
      </c>
      <c r="G80" s="761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980"/>
      <c r="U80" s="980"/>
      <c r="V80" s="980">
        <v>78113.149999999994</v>
      </c>
      <c r="W80" s="980">
        <v>78113.149999999994</v>
      </c>
      <c r="X80" s="979">
        <f t="shared" si="42"/>
        <v>82018.807499999995</v>
      </c>
      <c r="Y80" s="37"/>
      <c r="Z80" s="37"/>
      <c r="AA80" s="37"/>
      <c r="AB80" s="37"/>
    </row>
    <row r="81" spans="1:28">
      <c r="A81" s="37"/>
      <c r="B81" s="37" t="s">
        <v>809</v>
      </c>
      <c r="C81" s="761"/>
      <c r="D81" s="761"/>
      <c r="E81" s="37" t="s">
        <v>768</v>
      </c>
      <c r="F81" s="37" t="s">
        <v>810</v>
      </c>
      <c r="G81" s="761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980"/>
      <c r="U81" s="980"/>
      <c r="V81" s="980">
        <v>87576.86</v>
      </c>
      <c r="W81" s="980">
        <v>87576.86</v>
      </c>
      <c r="X81" s="979">
        <f t="shared" si="42"/>
        <v>91955.703000000009</v>
      </c>
      <c r="Y81" s="37"/>
      <c r="Z81" s="37"/>
      <c r="AA81" s="37"/>
      <c r="AB81" s="37"/>
    </row>
    <row r="82" spans="1:28">
      <c r="B82" s="37" t="s">
        <v>805</v>
      </c>
      <c r="C82" s="761"/>
      <c r="D82" s="761"/>
      <c r="E82" s="37" t="s">
        <v>768</v>
      </c>
      <c r="F82" s="37" t="s">
        <v>811</v>
      </c>
      <c r="G82" s="761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980"/>
      <c r="U82" s="980"/>
      <c r="V82" s="980">
        <v>80065.440000000002</v>
      </c>
      <c r="W82" s="980">
        <v>80065.440000000002</v>
      </c>
      <c r="X82" s="979">
        <f t="shared" si="42"/>
        <v>84068.712</v>
      </c>
      <c r="Y82" s="37"/>
      <c r="Z82" s="37"/>
      <c r="AA82" s="37"/>
      <c r="AB82" s="37"/>
    </row>
    <row r="83" spans="1:28">
      <c r="A83" s="37"/>
      <c r="B83" s="37" t="s">
        <v>805</v>
      </c>
      <c r="C83" s="761"/>
      <c r="D83" s="761"/>
      <c r="E83" s="37" t="s">
        <v>768</v>
      </c>
      <c r="F83" s="37" t="s">
        <v>812</v>
      </c>
      <c r="G83" s="761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980"/>
      <c r="U83" s="980"/>
      <c r="V83" s="980">
        <v>80065.440000000002</v>
      </c>
      <c r="W83" s="980">
        <v>80065.440000000002</v>
      </c>
      <c r="X83" s="979">
        <f t="shared" si="42"/>
        <v>84068.712</v>
      </c>
      <c r="Y83" s="37"/>
      <c r="Z83" s="37"/>
      <c r="AA83" s="37"/>
      <c r="AB83" s="37"/>
    </row>
    <row r="84" spans="1:28">
      <c r="A84" s="989" t="s">
        <v>746</v>
      </c>
      <c r="B84" s="989" t="s">
        <v>805</v>
      </c>
      <c r="C84" s="990"/>
      <c r="D84" s="990"/>
      <c r="E84" s="989" t="s">
        <v>768</v>
      </c>
      <c r="F84" s="989" t="s">
        <v>813</v>
      </c>
      <c r="G84" s="990"/>
      <c r="H84" s="989"/>
      <c r="I84" s="989"/>
      <c r="J84" s="989"/>
      <c r="K84" s="989"/>
      <c r="L84" s="989"/>
      <c r="M84" s="989"/>
      <c r="N84" s="989"/>
      <c r="O84" s="989"/>
      <c r="P84" s="989"/>
      <c r="Q84" s="989"/>
      <c r="R84" s="989"/>
      <c r="S84" s="989"/>
      <c r="T84" s="991"/>
      <c r="U84" s="991"/>
      <c r="V84" s="991">
        <v>0</v>
      </c>
      <c r="W84" s="991" t="s">
        <v>814</v>
      </c>
      <c r="X84" s="37"/>
      <c r="Y84" s="37"/>
      <c r="Z84" s="37"/>
      <c r="AA84" s="37"/>
      <c r="AB84" s="37"/>
    </row>
    <row r="85" spans="1:28">
      <c r="A85" s="989" t="s">
        <v>746</v>
      </c>
      <c r="B85" s="989" t="s">
        <v>805</v>
      </c>
      <c r="C85" s="990"/>
      <c r="D85" s="990"/>
      <c r="E85" s="989" t="s">
        <v>768</v>
      </c>
      <c r="F85" s="989" t="s">
        <v>813</v>
      </c>
      <c r="G85" s="990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91"/>
      <c r="U85" s="991"/>
      <c r="V85" s="991" t="s">
        <v>814</v>
      </c>
      <c r="W85" s="991" t="s">
        <v>814</v>
      </c>
      <c r="X85" s="37"/>
      <c r="Y85" s="37"/>
      <c r="Z85" s="37"/>
      <c r="AA85" s="37"/>
      <c r="AB85" s="37"/>
    </row>
    <row r="86" spans="1:28">
      <c r="A86" s="989" t="s">
        <v>746</v>
      </c>
      <c r="B86" s="989" t="s">
        <v>805</v>
      </c>
      <c r="C86" s="990"/>
      <c r="D86" s="990"/>
      <c r="E86" s="989" t="s">
        <v>768</v>
      </c>
      <c r="F86" s="989" t="s">
        <v>813</v>
      </c>
      <c r="G86" s="990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91"/>
      <c r="U86" s="991"/>
      <c r="V86" s="991" t="s">
        <v>814</v>
      </c>
      <c r="W86" s="991" t="s">
        <v>814</v>
      </c>
      <c r="X86" s="37"/>
      <c r="Y86" s="37"/>
      <c r="Z86" s="37"/>
      <c r="AA86" s="37"/>
      <c r="AB86" s="37"/>
    </row>
    <row r="87" spans="1:28">
      <c r="A87" s="989" t="s">
        <v>746</v>
      </c>
      <c r="B87" s="989" t="s">
        <v>805</v>
      </c>
      <c r="C87" s="990"/>
      <c r="D87" s="990"/>
      <c r="E87" s="989" t="s">
        <v>768</v>
      </c>
      <c r="F87" s="989" t="s">
        <v>813</v>
      </c>
      <c r="G87" s="990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91"/>
      <c r="U87" s="991"/>
      <c r="V87" s="991" t="s">
        <v>814</v>
      </c>
      <c r="W87" s="991" t="s">
        <v>814</v>
      </c>
      <c r="X87" s="37"/>
      <c r="Y87" s="37"/>
      <c r="Z87" s="37"/>
      <c r="AA87" s="37"/>
      <c r="AB87" s="37"/>
    </row>
    <row r="88" spans="1:28">
      <c r="A88" s="37"/>
      <c r="B88" s="37" t="s">
        <v>815</v>
      </c>
      <c r="C88" s="761"/>
      <c r="D88" s="761" t="s">
        <v>816</v>
      </c>
      <c r="E88" s="37" t="s">
        <v>817</v>
      </c>
      <c r="F88" s="37"/>
      <c r="G88" s="761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980"/>
      <c r="U88" s="980"/>
      <c r="V88" s="980"/>
      <c r="W88" s="980"/>
      <c r="X88" s="37"/>
      <c r="Y88" s="37"/>
      <c r="Z88" s="37"/>
      <c r="AA88" s="37"/>
      <c r="AB88" s="37"/>
    </row>
    <row r="89" spans="1:28">
      <c r="A89" s="37"/>
      <c r="B89" s="37" t="s">
        <v>815</v>
      </c>
      <c r="C89" s="761"/>
      <c r="D89" s="761" t="s">
        <v>816</v>
      </c>
      <c r="E89" s="37" t="s">
        <v>817</v>
      </c>
      <c r="F89" s="37"/>
      <c r="G89" s="761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980"/>
      <c r="U89" s="980"/>
      <c r="V89" s="980"/>
      <c r="W89" s="980"/>
      <c r="X89" s="37"/>
      <c r="Y89" s="37"/>
      <c r="Z89" s="37"/>
      <c r="AA89" s="37"/>
      <c r="AB89" s="37"/>
    </row>
    <row r="90" spans="1:28">
      <c r="B90" s="37" t="s">
        <v>815</v>
      </c>
      <c r="C90" s="761"/>
      <c r="D90" s="761" t="s">
        <v>816</v>
      </c>
      <c r="E90" s="37" t="s">
        <v>817</v>
      </c>
      <c r="F90" s="37"/>
      <c r="G90" s="761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980"/>
      <c r="U90" s="980"/>
      <c r="V90" s="980"/>
      <c r="W90" s="980"/>
      <c r="X90" s="37"/>
      <c r="Y90" s="37"/>
      <c r="Z90" s="37"/>
      <c r="AA90" s="37"/>
      <c r="AB90" s="37"/>
    </row>
    <row r="91" spans="1:28">
      <c r="A91" s="37"/>
      <c r="B91" s="37" t="s">
        <v>815</v>
      </c>
      <c r="C91" s="761"/>
      <c r="D91" s="761" t="s">
        <v>816</v>
      </c>
      <c r="E91" s="37" t="s">
        <v>817</v>
      </c>
      <c r="F91" s="37"/>
      <c r="G91" s="761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980"/>
      <c r="U91" s="980"/>
      <c r="V91" s="980"/>
      <c r="W91" s="980"/>
      <c r="X91" s="37"/>
      <c r="Y91" s="37"/>
      <c r="Z91" s="37"/>
      <c r="AA91" s="37"/>
      <c r="AB91" s="37"/>
    </row>
    <row r="92" spans="1:28">
      <c r="B92" s="37" t="s">
        <v>815</v>
      </c>
      <c r="C92" s="761"/>
      <c r="D92" s="761" t="s">
        <v>816</v>
      </c>
      <c r="E92" s="37" t="s">
        <v>817</v>
      </c>
      <c r="F92" s="37"/>
      <c r="G92" s="761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980"/>
      <c r="U92" s="980"/>
      <c r="V92" s="980"/>
      <c r="W92" s="980"/>
      <c r="X92" s="37"/>
      <c r="Y92" s="37"/>
      <c r="Z92" s="37"/>
      <c r="AA92" s="37"/>
      <c r="AB92" s="37"/>
    </row>
    <row r="93" spans="1:28">
      <c r="A93" s="37"/>
      <c r="B93" s="37" t="s">
        <v>815</v>
      </c>
      <c r="C93" s="761"/>
      <c r="D93" s="761" t="s">
        <v>816</v>
      </c>
      <c r="E93" s="37" t="s">
        <v>817</v>
      </c>
      <c r="F93" s="37"/>
      <c r="G93" s="761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980"/>
      <c r="U93" s="980"/>
      <c r="V93" s="980"/>
      <c r="W93" s="980"/>
      <c r="X93" s="37"/>
      <c r="Y93" s="37"/>
      <c r="Z93" s="37"/>
      <c r="AA93" s="37"/>
      <c r="AB93" s="37"/>
    </row>
    <row r="94" spans="1:28">
      <c r="A94" s="37"/>
      <c r="B94" s="37" t="s">
        <v>815</v>
      </c>
      <c r="C94" s="761"/>
      <c r="D94" s="761" t="s">
        <v>816</v>
      </c>
      <c r="E94" s="37" t="s">
        <v>817</v>
      </c>
      <c r="F94" s="37"/>
      <c r="G94" s="761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>
      <c r="A95" s="37"/>
      <c r="B95" s="37" t="s">
        <v>815</v>
      </c>
      <c r="C95" s="761"/>
      <c r="D95" s="761" t="s">
        <v>816</v>
      </c>
      <c r="E95" s="37" t="s">
        <v>817</v>
      </c>
      <c r="F95" s="37"/>
      <c r="G95" s="761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>
      <c r="A96" s="37"/>
      <c r="B96" s="37" t="s">
        <v>815</v>
      </c>
      <c r="C96" s="761"/>
      <c r="D96" s="761" t="s">
        <v>816</v>
      </c>
      <c r="E96" s="37" t="s">
        <v>817</v>
      </c>
      <c r="F96" s="37"/>
      <c r="G96" s="761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>
      <c r="A97" s="37"/>
      <c r="B97" s="37" t="s">
        <v>815</v>
      </c>
      <c r="C97" s="761"/>
      <c r="D97" s="761" t="s">
        <v>816</v>
      </c>
      <c r="E97" s="37" t="s">
        <v>817</v>
      </c>
      <c r="F97" s="37"/>
      <c r="G97" s="761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>
      <c r="A98" s="37"/>
      <c r="B98" s="37" t="s">
        <v>815</v>
      </c>
      <c r="C98" s="761"/>
      <c r="D98" s="761" t="s">
        <v>816</v>
      </c>
      <c r="E98" s="37" t="s">
        <v>817</v>
      </c>
      <c r="F98" s="37"/>
      <c r="G98" s="761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>
      <c r="A99" s="37"/>
      <c r="B99" s="37" t="s">
        <v>818</v>
      </c>
      <c r="C99" s="761"/>
      <c r="D99" s="761" t="s">
        <v>816</v>
      </c>
      <c r="E99" s="37" t="s">
        <v>817</v>
      </c>
      <c r="F99" s="37"/>
      <c r="G99" s="761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>
      <c r="A100" s="37"/>
      <c r="B100" s="37" t="s">
        <v>819</v>
      </c>
      <c r="C100" s="761"/>
      <c r="D100" s="761" t="s">
        <v>816</v>
      </c>
      <c r="E100" s="37" t="s">
        <v>817</v>
      </c>
      <c r="F100" s="37"/>
      <c r="G100" s="761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>
      <c r="B101" s="37" t="s">
        <v>815</v>
      </c>
      <c r="C101" s="761"/>
      <c r="D101" s="761" t="s">
        <v>816</v>
      </c>
      <c r="E101" s="37" t="s">
        <v>817</v>
      </c>
      <c r="F101" s="37"/>
      <c r="G101" s="761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980"/>
      <c r="U101" s="980"/>
      <c r="V101" s="980"/>
      <c r="W101" s="980"/>
      <c r="X101" s="37"/>
      <c r="Y101" s="37"/>
      <c r="Z101" s="37"/>
      <c r="AA101" s="37"/>
      <c r="AB101" s="37"/>
    </row>
    <row r="102" spans="1:28">
      <c r="A102" s="37"/>
      <c r="B102" s="37" t="s">
        <v>819</v>
      </c>
      <c r="C102" s="761"/>
      <c r="D102" s="761" t="s">
        <v>816</v>
      </c>
      <c r="E102" s="37" t="s">
        <v>817</v>
      </c>
      <c r="F102" s="37"/>
      <c r="G102" s="761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980"/>
      <c r="U102" s="980"/>
      <c r="V102" s="980"/>
      <c r="W102" s="980"/>
      <c r="X102" s="37"/>
      <c r="Y102" s="37"/>
      <c r="Z102" s="37"/>
      <c r="AA102" s="37"/>
      <c r="AB102" s="37"/>
    </row>
    <row r="103" spans="1:28">
      <c r="A103" s="981" t="s">
        <v>820</v>
      </c>
      <c r="B103" s="981"/>
      <c r="C103" s="982"/>
      <c r="D103" s="982"/>
      <c r="E103" s="981"/>
      <c r="F103" s="981"/>
      <c r="G103" s="982"/>
      <c r="H103" s="981"/>
      <c r="I103" s="981"/>
      <c r="J103" s="981"/>
      <c r="K103" s="981"/>
      <c r="L103" s="981"/>
      <c r="M103" s="981"/>
      <c r="N103" s="981"/>
      <c r="O103" s="981"/>
      <c r="P103" s="981"/>
      <c r="Q103" s="983" t="e">
        <f>SUM(Q104:Q152)</f>
        <v>#REF!</v>
      </c>
      <c r="R103" s="983" t="e">
        <f>SUM(R104:R152)</f>
        <v>#REF!</v>
      </c>
      <c r="S103" s="983"/>
      <c r="T103" s="983">
        <f t="shared" ref="T103:AB103" si="43">SUM(T72:T102)</f>
        <v>158996</v>
      </c>
      <c r="U103" s="983">
        <f t="shared" si="43"/>
        <v>125000</v>
      </c>
      <c r="V103" s="983">
        <f t="shared" si="43"/>
        <v>1283891.8999999999</v>
      </c>
      <c r="W103" s="983">
        <f t="shared" si="43"/>
        <v>1283891.8999999999</v>
      </c>
      <c r="X103" s="983">
        <f t="shared" si="43"/>
        <v>1068199.3995000001</v>
      </c>
      <c r="Y103" s="983">
        <f t="shared" si="43"/>
        <v>0</v>
      </c>
      <c r="Z103" s="983">
        <f t="shared" si="43"/>
        <v>0</v>
      </c>
      <c r="AA103" s="983">
        <f t="shared" si="43"/>
        <v>0</v>
      </c>
      <c r="AB103" s="983">
        <f t="shared" si="43"/>
        <v>0</v>
      </c>
    </row>
    <row r="105" spans="1:28">
      <c r="A105" s="37" t="s">
        <v>821</v>
      </c>
      <c r="B105" s="37" t="s">
        <v>822</v>
      </c>
      <c r="C105" s="761"/>
      <c r="D105" s="761"/>
      <c r="E105" s="37" t="s">
        <v>768</v>
      </c>
      <c r="F105" s="37"/>
      <c r="G105" s="761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980">
        <v>0</v>
      </c>
      <c r="U105" s="980">
        <v>0</v>
      </c>
      <c r="V105" s="980">
        <v>74056.820000000007</v>
      </c>
      <c r="W105" s="980">
        <v>74056.820000000007</v>
      </c>
      <c r="X105" s="37"/>
      <c r="Y105" s="37"/>
      <c r="Z105" s="37"/>
      <c r="AA105" s="37"/>
      <c r="AB105" s="37"/>
    </row>
    <row r="106" spans="1:28">
      <c r="B106" s="37" t="s">
        <v>823</v>
      </c>
      <c r="C106" s="761"/>
      <c r="D106" s="761"/>
      <c r="E106" s="37" t="s">
        <v>768</v>
      </c>
      <c r="F106" s="37"/>
      <c r="G106" s="761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980">
        <v>0</v>
      </c>
      <c r="U106" s="980">
        <v>0</v>
      </c>
      <c r="V106" s="980">
        <v>60054.45</v>
      </c>
      <c r="W106" s="980">
        <v>60054.45</v>
      </c>
      <c r="X106" s="37"/>
      <c r="Y106" s="37"/>
      <c r="Z106" s="37"/>
      <c r="AA106" s="37"/>
      <c r="AB106" s="37"/>
    </row>
    <row r="107" spans="1:28">
      <c r="A107" s="37"/>
      <c r="B107" s="37" t="s">
        <v>823</v>
      </c>
      <c r="C107" s="761"/>
      <c r="D107" s="761"/>
      <c r="E107" s="37" t="s">
        <v>768</v>
      </c>
      <c r="F107" s="37"/>
      <c r="G107" s="761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980">
        <v>0</v>
      </c>
      <c r="U107" s="980">
        <v>0</v>
      </c>
      <c r="V107" s="980">
        <v>60064.45</v>
      </c>
      <c r="W107" s="980">
        <v>60064.45</v>
      </c>
      <c r="X107" s="37"/>
      <c r="Y107" s="37"/>
      <c r="Z107" s="37"/>
      <c r="AA107" s="37"/>
      <c r="AB107" s="37"/>
    </row>
    <row r="108" spans="1:28">
      <c r="B108" s="37" t="s">
        <v>823</v>
      </c>
      <c r="C108" s="761"/>
      <c r="D108" s="761"/>
      <c r="E108" s="37" t="s">
        <v>768</v>
      </c>
      <c r="F108" s="37"/>
      <c r="G108" s="761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980">
        <v>0</v>
      </c>
      <c r="U108" s="980">
        <v>0</v>
      </c>
      <c r="V108" s="980">
        <v>58900.62</v>
      </c>
      <c r="W108" s="980">
        <v>58900.62</v>
      </c>
      <c r="X108" s="37"/>
      <c r="Y108" s="37"/>
      <c r="Z108" s="37"/>
      <c r="AA108" s="37"/>
      <c r="AB108" s="37"/>
    </row>
    <row r="109" spans="1:28">
      <c r="A109" s="37"/>
      <c r="B109" s="37" t="s">
        <v>824</v>
      </c>
      <c r="C109" s="761"/>
      <c r="D109" s="761" t="s">
        <v>816</v>
      </c>
      <c r="E109" s="37" t="s">
        <v>817</v>
      </c>
      <c r="F109" s="37"/>
      <c r="G109" s="761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980">
        <v>0</v>
      </c>
      <c r="U109" s="980">
        <v>0</v>
      </c>
      <c r="V109" s="980">
        <v>0</v>
      </c>
      <c r="W109" s="980">
        <v>0</v>
      </c>
      <c r="X109" s="37"/>
      <c r="Y109" s="37"/>
      <c r="Z109" s="37"/>
      <c r="AA109" s="37"/>
      <c r="AB109" s="37"/>
    </row>
    <row r="110" spans="1:28">
      <c r="B110" s="37" t="s">
        <v>824</v>
      </c>
      <c r="C110" s="761"/>
      <c r="D110" s="761" t="s">
        <v>816</v>
      </c>
      <c r="E110" s="37" t="s">
        <v>817</v>
      </c>
      <c r="F110" s="37"/>
      <c r="G110" s="761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980">
        <v>0</v>
      </c>
      <c r="U110" s="980">
        <v>0</v>
      </c>
      <c r="V110" s="980">
        <v>0</v>
      </c>
      <c r="W110" s="980">
        <v>0</v>
      </c>
      <c r="X110" s="37"/>
      <c r="Y110" s="37"/>
      <c r="Z110" s="37"/>
      <c r="AA110" s="37"/>
      <c r="AB110" s="37"/>
    </row>
    <row r="111" spans="1:28">
      <c r="A111" s="37"/>
      <c r="B111" s="37" t="s">
        <v>824</v>
      </c>
      <c r="C111" s="761"/>
      <c r="D111" s="761" t="s">
        <v>816</v>
      </c>
      <c r="E111" s="37" t="s">
        <v>817</v>
      </c>
      <c r="F111" s="37"/>
      <c r="G111" s="761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980">
        <v>0</v>
      </c>
      <c r="U111" s="980">
        <v>0</v>
      </c>
      <c r="V111" s="980">
        <v>0</v>
      </c>
      <c r="W111" s="980">
        <v>0</v>
      </c>
      <c r="X111" s="37"/>
      <c r="Y111" s="37"/>
      <c r="Z111" s="37"/>
      <c r="AA111" s="37"/>
      <c r="AB111" s="37"/>
    </row>
    <row r="112" spans="1:28">
      <c r="A112" s="37"/>
      <c r="B112" s="37" t="s">
        <v>824</v>
      </c>
      <c r="C112" s="761"/>
      <c r="D112" s="761" t="s">
        <v>816</v>
      </c>
      <c r="E112" s="37" t="s">
        <v>817</v>
      </c>
      <c r="F112" s="37"/>
      <c r="G112" s="761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980">
        <v>0</v>
      </c>
      <c r="U112" s="980">
        <v>0</v>
      </c>
      <c r="V112" s="980">
        <v>0</v>
      </c>
      <c r="W112" s="980">
        <v>0</v>
      </c>
      <c r="X112" s="37"/>
      <c r="Y112" s="37"/>
      <c r="Z112" s="37"/>
      <c r="AA112" s="37"/>
      <c r="AB112" s="37"/>
    </row>
    <row r="113" spans="1:28">
      <c r="A113" s="37"/>
      <c r="B113" s="37" t="s">
        <v>824</v>
      </c>
      <c r="C113" s="761"/>
      <c r="D113" s="761" t="s">
        <v>816</v>
      </c>
      <c r="E113" s="37" t="s">
        <v>817</v>
      </c>
      <c r="F113" s="37"/>
      <c r="G113" s="761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980">
        <v>0</v>
      </c>
      <c r="U113" s="980">
        <v>0</v>
      </c>
      <c r="V113" s="980">
        <v>0</v>
      </c>
      <c r="W113" s="980">
        <v>0</v>
      </c>
      <c r="X113" s="37"/>
      <c r="Y113" s="37"/>
      <c r="Z113" s="37"/>
      <c r="AA113" s="37"/>
      <c r="AB113" s="37"/>
    </row>
    <row r="114" spans="1:28">
      <c r="A114" s="981" t="s">
        <v>825</v>
      </c>
      <c r="B114" s="981"/>
      <c r="C114" s="982"/>
      <c r="D114" s="982"/>
      <c r="E114" s="981"/>
      <c r="F114" s="981"/>
      <c r="G114" s="982"/>
      <c r="H114" s="981"/>
      <c r="I114" s="981"/>
      <c r="J114" s="981"/>
      <c r="K114" s="981"/>
      <c r="L114" s="981"/>
      <c r="M114" s="981"/>
      <c r="N114" s="981"/>
      <c r="O114" s="981"/>
      <c r="P114" s="981"/>
      <c r="Q114" s="983" t="e">
        <f>SUM(Q115:Q168)</f>
        <v>#REF!</v>
      </c>
      <c r="R114" s="983" t="e">
        <f>SUM(R115:R168)</f>
        <v>#REF!</v>
      </c>
      <c r="S114" s="983"/>
      <c r="T114" s="983">
        <f>SUM(T105:T113)</f>
        <v>0</v>
      </c>
      <c r="U114" s="983">
        <f>SUM(U105:U113)</f>
        <v>0</v>
      </c>
      <c r="V114" s="983">
        <f>SUM(V105:V113)</f>
        <v>253076.34000000003</v>
      </c>
      <c r="W114" s="983">
        <f>SUM(W105:W113)</f>
        <v>253076.34000000003</v>
      </c>
      <c r="X114" s="983">
        <f>SUM(X105:X113)</f>
        <v>0</v>
      </c>
      <c r="Y114" s="983">
        <f>SUM(Y84:Y113)</f>
        <v>0</v>
      </c>
      <c r="Z114" s="983">
        <f>SUM(Z84:Z113)</f>
        <v>0</v>
      </c>
      <c r="AA114" s="983">
        <f>SUM(AA84:AA113)</f>
        <v>0</v>
      </c>
      <c r="AB114" s="983">
        <f>SUM(AB84:AB113)</f>
        <v>0</v>
      </c>
    </row>
    <row r="116" spans="1:28">
      <c r="A116" s="37" t="s">
        <v>826</v>
      </c>
      <c r="B116" s="37" t="s">
        <v>798</v>
      </c>
      <c r="C116" s="761"/>
      <c r="D116" s="761"/>
      <c r="E116" s="37" t="s">
        <v>740</v>
      </c>
      <c r="F116" s="37"/>
      <c r="G116" s="761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993">
        <v>108277</v>
      </c>
      <c r="U116" s="993">
        <v>114000</v>
      </c>
      <c r="V116" s="980">
        <v>123000</v>
      </c>
      <c r="W116" s="980">
        <v>126000</v>
      </c>
      <c r="X116" s="37">
        <v>131500</v>
      </c>
      <c r="Y116" s="37"/>
      <c r="Z116" s="37"/>
      <c r="AA116" s="37"/>
      <c r="AB116" s="37"/>
    </row>
    <row r="117" spans="1:28">
      <c r="A117" s="37" t="s">
        <v>827</v>
      </c>
      <c r="B117" s="37" t="s">
        <v>799</v>
      </c>
      <c r="C117" s="761"/>
      <c r="D117" s="761"/>
      <c r="E117" s="37" t="s">
        <v>740</v>
      </c>
      <c r="F117" s="37"/>
      <c r="G117" s="761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993">
        <v>70715</v>
      </c>
      <c r="U117" s="993">
        <v>72050</v>
      </c>
      <c r="V117" s="993">
        <v>78020</v>
      </c>
      <c r="W117" s="980">
        <v>83600</v>
      </c>
      <c r="X117" s="979">
        <f>W117*1.05</f>
        <v>87780</v>
      </c>
      <c r="Y117" s="37"/>
      <c r="Z117" s="37"/>
      <c r="AA117" s="37"/>
      <c r="AB117" s="37"/>
    </row>
    <row r="118" spans="1:28">
      <c r="A118" s="37" t="s">
        <v>828</v>
      </c>
      <c r="B118" s="37" t="s">
        <v>829</v>
      </c>
      <c r="C118" s="761"/>
      <c r="D118" s="761"/>
      <c r="E118" s="37" t="s">
        <v>740</v>
      </c>
      <c r="F118" s="37"/>
      <c r="G118" s="761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980">
        <v>36100</v>
      </c>
      <c r="U118" s="980">
        <v>37910</v>
      </c>
      <c r="V118" s="980">
        <v>42588</v>
      </c>
      <c r="W118" s="980">
        <v>45178</v>
      </c>
      <c r="X118" s="979">
        <f t="shared" ref="X118:X127" si="44">W118*1.05</f>
        <v>47436.9</v>
      </c>
      <c r="Y118" s="37"/>
      <c r="Z118" s="37"/>
      <c r="AA118" s="37"/>
      <c r="AB118" s="37"/>
    </row>
    <row r="119" spans="1:28">
      <c r="A119" s="37" t="s">
        <v>830</v>
      </c>
      <c r="B119" s="37" t="s">
        <v>831</v>
      </c>
      <c r="C119" s="761"/>
      <c r="D119" s="761"/>
      <c r="E119" s="37" t="s">
        <v>768</v>
      </c>
      <c r="F119" s="37"/>
      <c r="G119" s="761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993">
        <v>54990</v>
      </c>
      <c r="U119" s="993">
        <v>57365</v>
      </c>
      <c r="V119" s="980">
        <v>60840</v>
      </c>
      <c r="W119" s="980">
        <v>63790</v>
      </c>
      <c r="X119" s="979">
        <f t="shared" si="44"/>
        <v>66979.5</v>
      </c>
      <c r="Y119" s="37"/>
      <c r="Z119" s="37"/>
      <c r="AA119" s="37"/>
      <c r="AB119" s="37"/>
    </row>
    <row r="120" spans="1:28">
      <c r="A120" s="37" t="s">
        <v>832</v>
      </c>
      <c r="B120" s="37" t="s">
        <v>831</v>
      </c>
      <c r="C120" s="761"/>
      <c r="D120" s="761"/>
      <c r="E120" s="37" t="s">
        <v>768</v>
      </c>
      <c r="F120" s="37"/>
      <c r="G120" s="761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980">
        <v>54990</v>
      </c>
      <c r="U120" s="980">
        <v>57365</v>
      </c>
      <c r="V120" s="980">
        <v>69405</v>
      </c>
      <c r="W120" s="980">
        <v>72780</v>
      </c>
      <c r="X120" s="979">
        <f t="shared" si="44"/>
        <v>76419</v>
      </c>
      <c r="Y120" s="37"/>
      <c r="Z120" s="37"/>
      <c r="AA120" s="37"/>
      <c r="AB120" s="37"/>
    </row>
    <row r="121" spans="1:28">
      <c r="A121" s="37" t="s">
        <v>833</v>
      </c>
      <c r="B121" s="37" t="s">
        <v>831</v>
      </c>
      <c r="C121" s="761"/>
      <c r="D121" s="761"/>
      <c r="E121" s="37" t="s">
        <v>768</v>
      </c>
      <c r="F121" s="37"/>
      <c r="G121" s="761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980">
        <v>58270</v>
      </c>
      <c r="U121" s="980">
        <v>63810</v>
      </c>
      <c r="V121" s="980">
        <v>71350</v>
      </c>
      <c r="W121" s="980">
        <v>80520</v>
      </c>
      <c r="X121" s="979">
        <f t="shared" si="44"/>
        <v>84546</v>
      </c>
      <c r="Y121" s="37"/>
      <c r="Z121" s="37"/>
      <c r="AA121" s="37"/>
      <c r="AB121" s="37"/>
    </row>
    <row r="122" spans="1:28">
      <c r="A122" s="37" t="s">
        <v>834</v>
      </c>
      <c r="B122" s="37" t="s">
        <v>831</v>
      </c>
      <c r="C122" s="761"/>
      <c r="D122" s="761"/>
      <c r="E122" s="37" t="s">
        <v>768</v>
      </c>
      <c r="F122" s="37"/>
      <c r="G122" s="761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993">
        <v>53565</v>
      </c>
      <c r="U122" s="993">
        <v>55780</v>
      </c>
      <c r="V122" s="980">
        <v>66105</v>
      </c>
      <c r="W122" s="980">
        <v>69315</v>
      </c>
      <c r="X122" s="979">
        <f t="shared" si="44"/>
        <v>72780.75</v>
      </c>
      <c r="Y122" s="37"/>
      <c r="Z122" s="37"/>
      <c r="AA122" s="37"/>
      <c r="AB122" s="37"/>
    </row>
    <row r="123" spans="1:28">
      <c r="A123" s="37" t="s">
        <v>835</v>
      </c>
      <c r="B123" s="37" t="s">
        <v>836</v>
      </c>
      <c r="C123" s="761"/>
      <c r="D123" s="761"/>
      <c r="E123" s="37" t="s">
        <v>768</v>
      </c>
      <c r="F123" s="37"/>
      <c r="G123" s="761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994">
        <v>0</v>
      </c>
      <c r="U123" s="980">
        <v>0</v>
      </c>
      <c r="V123" s="980">
        <v>58480</v>
      </c>
      <c r="W123" s="980">
        <v>63150</v>
      </c>
      <c r="X123" s="979">
        <f t="shared" si="44"/>
        <v>66307.5</v>
      </c>
      <c r="Y123" s="37"/>
      <c r="Z123" s="37"/>
      <c r="AA123" s="37"/>
      <c r="AB123" s="37"/>
    </row>
    <row r="124" spans="1:28">
      <c r="A124" s="37" t="s">
        <v>837</v>
      </c>
      <c r="B124" s="37" t="s">
        <v>838</v>
      </c>
      <c r="C124" s="761"/>
      <c r="D124" s="761"/>
      <c r="E124" s="37" t="s">
        <v>768</v>
      </c>
      <c r="F124" s="37"/>
      <c r="G124" s="761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980">
        <v>0</v>
      </c>
      <c r="U124" s="980">
        <v>0</v>
      </c>
      <c r="V124" s="980">
        <v>58480</v>
      </c>
      <c r="W124" s="980">
        <v>63150</v>
      </c>
      <c r="X124" s="979">
        <f t="shared" si="44"/>
        <v>66307.5</v>
      </c>
      <c r="Y124" s="37"/>
      <c r="Z124" s="37"/>
      <c r="AA124" s="37"/>
      <c r="AB124" s="37"/>
    </row>
    <row r="125" spans="1:28">
      <c r="A125" s="37" t="s">
        <v>839</v>
      </c>
      <c r="B125" s="37" t="s">
        <v>840</v>
      </c>
      <c r="C125" s="761"/>
      <c r="D125" s="761" t="s">
        <v>816</v>
      </c>
      <c r="E125" s="37" t="s">
        <v>817</v>
      </c>
      <c r="F125" s="37"/>
      <c r="G125" s="761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980">
        <v>83220</v>
      </c>
      <c r="U125" s="980">
        <v>91980</v>
      </c>
      <c r="V125" s="980">
        <v>0</v>
      </c>
      <c r="W125" s="980">
        <v>0</v>
      </c>
      <c r="X125" s="979"/>
      <c r="Y125" s="37"/>
      <c r="Z125" s="37"/>
      <c r="AA125" s="37"/>
      <c r="AB125" s="37"/>
    </row>
    <row r="126" spans="1:28">
      <c r="A126" s="37" t="s">
        <v>841</v>
      </c>
      <c r="B126" s="37" t="s">
        <v>840</v>
      </c>
      <c r="C126" s="761"/>
      <c r="D126" s="761" t="s">
        <v>816</v>
      </c>
      <c r="E126" s="37" t="s">
        <v>817</v>
      </c>
      <c r="F126" s="37"/>
      <c r="G126" s="761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980">
        <v>0</v>
      </c>
      <c r="U126" s="980">
        <v>0</v>
      </c>
      <c r="V126" s="980">
        <v>52500</v>
      </c>
      <c r="W126" s="980">
        <v>52500</v>
      </c>
      <c r="X126" s="979"/>
      <c r="Y126" s="37"/>
      <c r="Z126" s="37"/>
      <c r="AA126" s="37"/>
      <c r="AB126" s="37"/>
    </row>
    <row r="127" spans="1:28">
      <c r="A127" s="37" t="s">
        <v>841</v>
      </c>
      <c r="B127" s="37" t="s">
        <v>840</v>
      </c>
      <c r="C127" s="761"/>
      <c r="D127" s="761" t="s">
        <v>816</v>
      </c>
      <c r="E127" s="37" t="s">
        <v>817</v>
      </c>
      <c r="F127" s="37"/>
      <c r="G127" s="761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980">
        <v>0</v>
      </c>
      <c r="U127" s="980">
        <v>0</v>
      </c>
      <c r="V127" s="980">
        <v>52500</v>
      </c>
      <c r="W127" s="980">
        <v>52500</v>
      </c>
      <c r="X127" s="979"/>
      <c r="Y127" s="37"/>
      <c r="Z127" s="37"/>
      <c r="AA127" s="37"/>
      <c r="AB127" s="37"/>
    </row>
    <row r="128" spans="1:28">
      <c r="A128" s="4" t="s">
        <v>842</v>
      </c>
      <c r="B128" s="995" t="s">
        <v>843</v>
      </c>
      <c r="C128" s="761"/>
      <c r="D128" s="761" t="s">
        <v>816</v>
      </c>
      <c r="E128" s="37" t="s">
        <v>817</v>
      </c>
      <c r="F128" s="37"/>
      <c r="G128" s="761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980">
        <v>0</v>
      </c>
      <c r="U128" s="980">
        <v>0</v>
      </c>
      <c r="V128" s="980">
        <v>0</v>
      </c>
      <c r="W128" s="980">
        <v>0</v>
      </c>
      <c r="X128" s="37"/>
      <c r="Y128" s="37"/>
      <c r="Z128" s="37"/>
      <c r="AA128" s="37"/>
      <c r="AB128" s="37"/>
    </row>
    <row r="129" spans="1:28">
      <c r="A129" s="37" t="s">
        <v>844</v>
      </c>
      <c r="B129" s="37" t="s">
        <v>840</v>
      </c>
      <c r="C129" s="761"/>
      <c r="D129" s="761" t="s">
        <v>816</v>
      </c>
      <c r="E129" s="37" t="s">
        <v>817</v>
      </c>
      <c r="F129" s="37"/>
      <c r="G129" s="761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980">
        <v>0</v>
      </c>
      <c r="U129" s="980">
        <v>0</v>
      </c>
      <c r="V129" s="980">
        <v>0</v>
      </c>
      <c r="W129" s="980">
        <v>0</v>
      </c>
      <c r="X129" s="37"/>
      <c r="Y129" s="37"/>
      <c r="Z129" s="37"/>
      <c r="AA129" s="37"/>
      <c r="AB129" s="37"/>
    </row>
    <row r="130" spans="1:28">
      <c r="A130" s="4" t="s">
        <v>845</v>
      </c>
      <c r="B130" s="37" t="s">
        <v>846</v>
      </c>
      <c r="C130" s="761"/>
      <c r="D130" s="761" t="s">
        <v>816</v>
      </c>
      <c r="E130" s="37" t="s">
        <v>817</v>
      </c>
      <c r="F130" s="37"/>
      <c r="G130" s="761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980">
        <v>0</v>
      </c>
      <c r="U130" s="980">
        <v>0</v>
      </c>
      <c r="V130" s="980">
        <v>0</v>
      </c>
      <c r="W130" s="980">
        <v>0</v>
      </c>
      <c r="X130" s="37"/>
      <c r="Y130" s="37"/>
      <c r="Z130" s="37"/>
      <c r="AA130" s="37"/>
      <c r="AB130" s="37"/>
    </row>
    <row r="131" spans="1:28">
      <c r="A131" s="981" t="s">
        <v>847</v>
      </c>
      <c r="B131" s="981"/>
      <c r="C131" s="982"/>
      <c r="D131" s="982"/>
      <c r="E131" s="981"/>
      <c r="F131" s="981"/>
      <c r="G131" s="982"/>
      <c r="H131" s="981"/>
      <c r="I131" s="981"/>
      <c r="J131" s="981"/>
      <c r="K131" s="981"/>
      <c r="L131" s="981"/>
      <c r="M131" s="981"/>
      <c r="N131" s="981"/>
      <c r="O131" s="981"/>
      <c r="P131" s="981"/>
      <c r="Q131" s="983" t="e">
        <f>SUM(Q140:Q176)</f>
        <v>#REF!</v>
      </c>
      <c r="R131" s="983" t="e">
        <f>SUM(R140:R176)</f>
        <v>#REF!</v>
      </c>
      <c r="S131" s="983"/>
      <c r="T131" s="983">
        <f>SUM(T116:T130)</f>
        <v>520127</v>
      </c>
      <c r="U131" s="983">
        <f t="shared" ref="U131:W131" si="45">SUM(U116:U130)</f>
        <v>550260</v>
      </c>
      <c r="V131" s="983">
        <f t="shared" si="45"/>
        <v>733268</v>
      </c>
      <c r="W131" s="983">
        <f t="shared" si="45"/>
        <v>772483</v>
      </c>
      <c r="X131" s="983">
        <f>SUM(X116:X130)</f>
        <v>700057.15</v>
      </c>
      <c r="Y131" s="983">
        <f>SUM(Y101:Y130)</f>
        <v>0</v>
      </c>
      <c r="Z131" s="983">
        <f>SUM(Z101:Z130)</f>
        <v>0</v>
      </c>
      <c r="AA131" s="983">
        <f>SUM(AA101:AA130)</f>
        <v>0</v>
      </c>
      <c r="AB131" s="983">
        <f>SUM(AB101:AB130)</f>
        <v>0</v>
      </c>
    </row>
    <row r="133" spans="1:28">
      <c r="A133" s="37" t="s">
        <v>848</v>
      </c>
      <c r="B133" s="37" t="s">
        <v>849</v>
      </c>
      <c r="C133" s="761"/>
      <c r="D133" s="761"/>
      <c r="E133" s="37" t="s">
        <v>817</v>
      </c>
      <c r="F133" s="37"/>
      <c r="G133" s="761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980">
        <f>20000+3900</f>
        <v>23900</v>
      </c>
      <c r="U133" s="980">
        <f>20600+3900</f>
        <v>24500</v>
      </c>
      <c r="V133" s="980">
        <f>21012+3978</f>
        <v>24990</v>
      </c>
      <c r="W133" s="980">
        <f>21264+3978</f>
        <v>25242</v>
      </c>
      <c r="X133" s="979"/>
      <c r="Y133" s="979"/>
      <c r="Z133" s="979"/>
      <c r="AA133" s="979"/>
      <c r="AB133" s="979"/>
    </row>
    <row r="134" spans="1:28">
      <c r="A134" s="974" t="s">
        <v>850</v>
      </c>
      <c r="B134" s="974"/>
      <c r="C134" s="975"/>
      <c r="D134" s="975"/>
      <c r="E134" s="974"/>
      <c r="F134" s="974"/>
      <c r="G134" s="975"/>
      <c r="H134" s="974"/>
      <c r="I134" s="974"/>
      <c r="J134" s="974"/>
      <c r="K134" s="974"/>
      <c r="L134" s="974"/>
      <c r="M134" s="974"/>
      <c r="N134" s="974"/>
      <c r="O134" s="974"/>
      <c r="P134" s="974"/>
      <c r="Q134" s="976" t="e">
        <f>SUM(Q135:Q171)</f>
        <v>#REF!</v>
      </c>
      <c r="R134" s="976" t="e">
        <f>SUM(R135:R171)</f>
        <v>#REF!</v>
      </c>
      <c r="S134" s="976"/>
      <c r="T134" s="984">
        <f>SUM(T108:T133)</f>
        <v>1064154</v>
      </c>
      <c r="U134" s="984">
        <f>SUM(U108:U133)</f>
        <v>1125020</v>
      </c>
      <c r="V134" s="984">
        <f>SUM(V133)</f>
        <v>24990</v>
      </c>
      <c r="W134" s="984">
        <f>SUM(W108:W133)</f>
        <v>1882184.96</v>
      </c>
      <c r="X134" s="985">
        <f>SUM(X133)</f>
        <v>0</v>
      </c>
      <c r="Y134" s="985">
        <f>SUM(Y87:Y133)</f>
        <v>0</v>
      </c>
      <c r="Z134" s="985">
        <f>SUM(Z87:Z133)</f>
        <v>0</v>
      </c>
      <c r="AA134" s="985">
        <f>SUM(AA87:AA133)</f>
        <v>0</v>
      </c>
      <c r="AB134" s="985">
        <f>SUM(AB87:AB133)</f>
        <v>0</v>
      </c>
    </row>
    <row r="135" spans="1:28">
      <c r="Q135" s="973"/>
      <c r="R135" s="973"/>
      <c r="S135" s="973"/>
      <c r="T135" s="973"/>
      <c r="U135" s="973"/>
      <c r="V135" s="973"/>
      <c r="W135" s="973"/>
      <c r="X135" s="973"/>
      <c r="Y135" s="973"/>
      <c r="Z135" s="973"/>
      <c r="AA135" s="973"/>
      <c r="AB135" s="973"/>
    </row>
    <row r="136" spans="1:28">
      <c r="A136" s="758" t="s">
        <v>478</v>
      </c>
      <c r="B136" s="758"/>
      <c r="C136" s="759"/>
      <c r="D136" s="759"/>
      <c r="E136" s="758"/>
      <c r="F136" s="758"/>
      <c r="G136" s="759"/>
      <c r="H136" s="758"/>
      <c r="I136" s="758"/>
      <c r="J136" s="758"/>
      <c r="K136" s="758"/>
      <c r="L136" s="758"/>
      <c r="M136" s="758"/>
      <c r="N136" s="758"/>
      <c r="O136" s="758"/>
      <c r="P136" s="758"/>
      <c r="Q136" s="760"/>
      <c r="R136" s="760"/>
      <c r="S136" s="760"/>
      <c r="T136" s="760"/>
      <c r="U136" s="760"/>
      <c r="V136" s="760" t="s">
        <v>101</v>
      </c>
      <c r="W136" s="760" t="s">
        <v>102</v>
      </c>
      <c r="X136" s="760"/>
      <c r="Y136" s="760"/>
      <c r="Z136" s="760"/>
      <c r="AA136" s="760"/>
      <c r="AB136" s="760"/>
    </row>
    <row r="137" spans="1:28">
      <c r="A137" s="762"/>
      <c r="B137" s="762"/>
      <c r="C137" s="763"/>
      <c r="D137" s="763"/>
      <c r="E137" s="764" t="s">
        <v>724</v>
      </c>
      <c r="F137" s="764"/>
      <c r="G137" s="765"/>
      <c r="H137" s="764"/>
      <c r="I137" s="764"/>
      <c r="J137" s="764"/>
      <c r="K137" s="764"/>
      <c r="L137" s="764"/>
      <c r="M137" s="764"/>
      <c r="N137" s="764"/>
      <c r="O137" s="764"/>
      <c r="P137" s="764"/>
      <c r="Q137" s="775" t="e">
        <f>+#REF!+#REF!+#REF!</f>
        <v>#REF!</v>
      </c>
      <c r="R137" s="775" t="e">
        <f>+#REF!+#REF!+#REF!</f>
        <v>#REF!</v>
      </c>
      <c r="S137" s="775" t="e">
        <f>+#REF!+#REF!+#REF!</f>
        <v>#REF!</v>
      </c>
      <c r="T137" s="775">
        <f>SUMIF(E68:E135, "Elected", T68:T135)</f>
        <v>0</v>
      </c>
      <c r="U137" s="775">
        <f>SUMIF(E68:E135, "Elected", U68:U135)</f>
        <v>0</v>
      </c>
      <c r="V137" s="775">
        <f>SUMIF(E68:E135, "Elected", V68:V135)</f>
        <v>0</v>
      </c>
      <c r="W137" s="775">
        <f>SUMIF(E68:E135, "Elected", W68:W135)</f>
        <v>0</v>
      </c>
      <c r="X137" s="775" t="e">
        <f>+#REF!+#REF!+#REF!</f>
        <v>#REF!</v>
      </c>
      <c r="Y137" s="775" t="e">
        <f>+#REF!+#REF!+#REF!</f>
        <v>#REF!</v>
      </c>
      <c r="Z137" s="775" t="e">
        <f>+#REF!+#REF!+#REF!</f>
        <v>#REF!</v>
      </c>
      <c r="AA137" s="775" t="e">
        <f>+#REF!+#REF!+#REF!</f>
        <v>#REF!</v>
      </c>
      <c r="AB137" s="775" t="e">
        <f>+#REF!+#REF!+#REF!</f>
        <v>#REF!</v>
      </c>
    </row>
    <row r="138" spans="1:28">
      <c r="A138" s="762"/>
      <c r="B138" s="762"/>
      <c r="C138" s="763"/>
      <c r="D138" s="763"/>
      <c r="E138" s="764" t="s">
        <v>740</v>
      </c>
      <c r="F138" s="764"/>
      <c r="G138" s="765"/>
      <c r="H138" s="764"/>
      <c r="I138" s="764"/>
      <c r="J138" s="764"/>
      <c r="K138" s="764"/>
      <c r="L138" s="764"/>
      <c r="M138" s="764"/>
      <c r="N138" s="764"/>
      <c r="O138" s="764"/>
      <c r="P138" s="764"/>
      <c r="Q138" s="775" t="e">
        <f>+#REF!</f>
        <v>#REF!</v>
      </c>
      <c r="R138" s="775" t="e">
        <f>+#REF!</f>
        <v>#REF!</v>
      </c>
      <c r="S138" s="775" t="e">
        <f>+#REF!</f>
        <v>#REF!</v>
      </c>
      <c r="T138" s="775">
        <f>SUMIF(E68:E135, "Contract", T68:T135)</f>
        <v>395408</v>
      </c>
      <c r="U138" s="775">
        <f>SUMIF(E68:E135, "Contract", U68:U135)</f>
        <v>370280</v>
      </c>
      <c r="V138" s="775">
        <f>SUMIF(E68:E135, "Contract", V68:V135)</f>
        <v>585838</v>
      </c>
      <c r="W138" s="775">
        <f>SUMIF(E68:E135, "Contract", W68:W135)</f>
        <v>597301</v>
      </c>
      <c r="X138" s="775" t="e">
        <f>+#REF!</f>
        <v>#REF!</v>
      </c>
      <c r="Y138" s="775" t="e">
        <f>+#REF!</f>
        <v>#REF!</v>
      </c>
      <c r="Z138" s="775" t="e">
        <f>+#REF!</f>
        <v>#REF!</v>
      </c>
      <c r="AA138" s="775" t="e">
        <f>+#REF!</f>
        <v>#REF!</v>
      </c>
      <c r="AB138" s="775" t="e">
        <f>+#REF!</f>
        <v>#REF!</v>
      </c>
    </row>
    <row r="139" spans="1:28">
      <c r="A139" s="762"/>
      <c r="B139" s="762"/>
      <c r="C139" s="763"/>
      <c r="D139" s="763"/>
      <c r="E139" s="764" t="s">
        <v>716</v>
      </c>
      <c r="F139" s="764"/>
      <c r="G139" s="765"/>
      <c r="H139" s="764"/>
      <c r="I139" s="764"/>
      <c r="J139" s="764"/>
      <c r="K139" s="764"/>
      <c r="L139" s="764"/>
      <c r="M139" s="764"/>
      <c r="N139" s="764"/>
      <c r="O139" s="764"/>
      <c r="P139" s="764"/>
      <c r="Q139" s="775" t="e">
        <f>+#REF!+#REF!</f>
        <v>#REF!</v>
      </c>
      <c r="R139" s="775" t="e">
        <f>+#REF!+#REF!</f>
        <v>#REF!</v>
      </c>
      <c r="S139" s="775" t="e">
        <f>+#REF!+#REF!</f>
        <v>#REF!</v>
      </c>
      <c r="T139" s="775">
        <f>SUMIF(E68:E135, "Exempt", T68:T135)</f>
        <v>107120</v>
      </c>
      <c r="U139" s="775">
        <f>SUMIF(E68:E135, "Exempt", U68:U135)</f>
        <v>116480</v>
      </c>
      <c r="V139" s="775">
        <f>SUMIF(E68:E135, "Exempt", V68:V135)</f>
        <v>129990</v>
      </c>
      <c r="W139" s="775">
        <f>SUMIF(E68:E135, "Exempt", W68:W135)</f>
        <v>130242</v>
      </c>
      <c r="X139" s="775" t="e">
        <f>+#REF!+#REF!</f>
        <v>#REF!</v>
      </c>
      <c r="Y139" s="775" t="e">
        <f>+#REF!+#REF!</f>
        <v>#REF!</v>
      </c>
      <c r="Z139" s="775" t="e">
        <f>+#REF!+#REF!</f>
        <v>#REF!</v>
      </c>
      <c r="AA139" s="775" t="e">
        <f>+#REF!+#REF!</f>
        <v>#REF!</v>
      </c>
      <c r="AB139" s="775" t="e">
        <f>+#REF!+#REF!</f>
        <v>#REF!</v>
      </c>
    </row>
    <row r="140" spans="1:28">
      <c r="A140" s="762"/>
      <c r="B140" s="762"/>
      <c r="C140" s="763"/>
      <c r="D140" s="763"/>
      <c r="E140" s="764" t="s">
        <v>768</v>
      </c>
      <c r="F140" s="764"/>
      <c r="G140" s="765"/>
      <c r="H140" s="764"/>
      <c r="I140" s="764"/>
      <c r="J140" s="764"/>
      <c r="K140" s="764"/>
      <c r="L140" s="764"/>
      <c r="M140" s="764"/>
      <c r="N140" s="764"/>
      <c r="O140" s="764"/>
      <c r="P140" s="764"/>
      <c r="Q140" s="775" t="e">
        <f>+#REF!</f>
        <v>#REF!</v>
      </c>
      <c r="R140" s="775" t="e">
        <f>+#REF!</f>
        <v>#REF!</v>
      </c>
      <c r="S140" s="775" t="e">
        <f>+#REF!</f>
        <v>#REF!</v>
      </c>
      <c r="T140" s="775">
        <f>SUMIF(E68:E135, "Union", T68:T135)</f>
        <v>243963</v>
      </c>
      <c r="U140" s="775">
        <f>SUMIF(E68:E135, "Union", U68:U135)</f>
        <v>253630</v>
      </c>
      <c r="V140" s="775">
        <f>SUMIF(E68:E135, "Union", V68:V135)</f>
        <v>1626238.2400000002</v>
      </c>
      <c r="W140" s="775">
        <f>SUMIF(E68:E135, "Union", W68:W135)</f>
        <v>1658279.2400000002</v>
      </c>
      <c r="X140" s="775" t="e">
        <f>+#REF!</f>
        <v>#REF!</v>
      </c>
      <c r="Y140" s="775" t="e">
        <f>+#REF!</f>
        <v>#REF!</v>
      </c>
      <c r="Z140" s="775" t="e">
        <f>+#REF!</f>
        <v>#REF!</v>
      </c>
      <c r="AA140" s="775" t="e">
        <f>+#REF!</f>
        <v>#REF!</v>
      </c>
      <c r="AB140" s="775" t="e">
        <f>+#REF!</f>
        <v>#REF!</v>
      </c>
    </row>
    <row r="141" spans="1:28">
      <c r="A141" s="762"/>
      <c r="B141" s="762"/>
      <c r="C141" s="763"/>
      <c r="D141" s="763"/>
      <c r="E141" s="764" t="s">
        <v>291</v>
      </c>
      <c r="F141" s="764"/>
      <c r="G141" s="765"/>
      <c r="H141" s="764"/>
      <c r="I141" s="764"/>
      <c r="J141" s="764"/>
      <c r="K141" s="764"/>
      <c r="L141" s="764"/>
      <c r="M141" s="764"/>
      <c r="N141" s="764"/>
      <c r="O141" s="764"/>
      <c r="P141" s="764"/>
      <c r="Q141" s="775" t="e">
        <f>+#REF!</f>
        <v>#REF!</v>
      </c>
      <c r="R141" s="775" t="e">
        <f>+#REF!</f>
        <v>#REF!</v>
      </c>
      <c r="S141" s="775" t="e">
        <f>+#REF!</f>
        <v>#REF!</v>
      </c>
      <c r="T141" s="775">
        <f t="shared" ref="T141:V141" si="46">SUM(T137:T140)</f>
        <v>746491</v>
      </c>
      <c r="U141" s="775">
        <f t="shared" si="46"/>
        <v>740390</v>
      </c>
      <c r="V141" s="775">
        <f t="shared" si="46"/>
        <v>2342066.2400000002</v>
      </c>
      <c r="W141" s="775">
        <f>SUM(W137:W140)</f>
        <v>2385822.2400000002</v>
      </c>
      <c r="X141" s="775" t="e">
        <f>+#REF!</f>
        <v>#REF!</v>
      </c>
      <c r="Y141" s="775" t="e">
        <f>+#REF!</f>
        <v>#REF!</v>
      </c>
      <c r="Z141" s="775" t="e">
        <f>+#REF!</f>
        <v>#REF!</v>
      </c>
      <c r="AA141" s="775" t="e">
        <f>+#REF!</f>
        <v>#REF!</v>
      </c>
      <c r="AB141" s="775" t="e">
        <f>+#REF!</f>
        <v>#REF!</v>
      </c>
    </row>
    <row r="143" spans="1:28">
      <c r="A143" s="106"/>
      <c r="B143" s="106"/>
      <c r="C143" s="233"/>
      <c r="D143" s="233"/>
      <c r="E143" s="106" t="s">
        <v>716</v>
      </c>
      <c r="F143" s="106"/>
      <c r="G143" s="233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</row>
    <row r="144" spans="1:28">
      <c r="A144" s="106"/>
      <c r="B144" s="106"/>
      <c r="C144" s="233" t="s">
        <v>717</v>
      </c>
      <c r="D144" s="233" t="s">
        <v>718</v>
      </c>
      <c r="E144" s="106" t="s">
        <v>719</v>
      </c>
      <c r="F144" s="106" t="s">
        <v>851</v>
      </c>
      <c r="G144" s="233" t="s">
        <v>721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99" t="s">
        <v>96</v>
      </c>
      <c r="R144" s="99" t="s">
        <v>97</v>
      </c>
      <c r="S144" s="99" t="s">
        <v>98</v>
      </c>
      <c r="T144" s="99" t="s">
        <v>99</v>
      </c>
      <c r="U144" s="99" t="s">
        <v>100</v>
      </c>
      <c r="V144" s="99" t="s">
        <v>101</v>
      </c>
      <c r="W144" s="99" t="s">
        <v>102</v>
      </c>
      <c r="X144" s="99" t="s">
        <v>103</v>
      </c>
      <c r="Y144" s="99" t="s">
        <v>104</v>
      </c>
      <c r="Z144" s="99" t="s">
        <v>105</v>
      </c>
      <c r="AA144" s="99" t="s">
        <v>106</v>
      </c>
      <c r="AB144" s="99" t="s">
        <v>107</v>
      </c>
    </row>
    <row r="145" spans="1:28">
      <c r="A145" s="106" t="s">
        <v>722</v>
      </c>
      <c r="B145" s="106" t="s">
        <v>723</v>
      </c>
      <c r="C145" s="233" t="s">
        <v>75</v>
      </c>
      <c r="D145" s="233" t="s">
        <v>75</v>
      </c>
      <c r="E145" s="106" t="s">
        <v>724</v>
      </c>
      <c r="F145" s="106" t="s">
        <v>725</v>
      </c>
      <c r="G145" s="233" t="s">
        <v>75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254" t="s">
        <v>158</v>
      </c>
      <c r="R145" s="254" t="s">
        <v>158</v>
      </c>
      <c r="S145" s="254" t="s">
        <v>158</v>
      </c>
      <c r="T145" s="254" t="s">
        <v>158</v>
      </c>
      <c r="U145" s="254" t="s">
        <v>158</v>
      </c>
      <c r="V145" s="99" t="s">
        <v>158</v>
      </c>
      <c r="W145" s="99" t="s">
        <v>158</v>
      </c>
      <c r="X145" s="99" t="s">
        <v>159</v>
      </c>
      <c r="Y145" s="99" t="s">
        <v>159</v>
      </c>
      <c r="Z145" s="99" t="s">
        <v>159</v>
      </c>
      <c r="AA145" s="99" t="s">
        <v>159</v>
      </c>
      <c r="AB145" s="99" t="s">
        <v>159</v>
      </c>
    </row>
    <row r="146" spans="1:28">
      <c r="E146" s="106" t="s">
        <v>726</v>
      </c>
    </row>
    <row r="147" spans="1:28">
      <c r="A147" s="106"/>
      <c r="B147" s="106"/>
      <c r="C147" s="233"/>
      <c r="D147" s="233"/>
      <c r="E147" s="106" t="s">
        <v>727</v>
      </c>
      <c r="F147" s="106"/>
      <c r="G147" s="233"/>
      <c r="H147" s="106"/>
      <c r="I147" s="106"/>
      <c r="J147" s="106"/>
      <c r="K147" s="106"/>
      <c r="L147" s="106"/>
      <c r="M147" s="106"/>
      <c r="N147" s="106"/>
      <c r="O147" s="106"/>
      <c r="P147" s="106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</row>
    <row r="149" spans="1:28">
      <c r="A149" s="37" t="s">
        <v>852</v>
      </c>
      <c r="B149" s="37" t="s">
        <v>853</v>
      </c>
      <c r="C149" s="37"/>
      <c r="D149" s="37"/>
      <c r="E149" s="37" t="s">
        <v>724</v>
      </c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980">
        <f>68221+9000</f>
        <v>77221</v>
      </c>
      <c r="U149" s="980">
        <f>70721+9000</f>
        <v>79721</v>
      </c>
      <c r="V149" s="980">
        <f>81000+4000</f>
        <v>85000</v>
      </c>
      <c r="W149" s="980">
        <f>85000+4000</f>
        <v>89000</v>
      </c>
      <c r="X149" s="979">
        <f>89500+4000</f>
        <v>93500</v>
      </c>
      <c r="Y149" s="37"/>
      <c r="Z149" s="37"/>
      <c r="AA149" s="37"/>
      <c r="AB149" s="37"/>
    </row>
    <row r="150" spans="1:28">
      <c r="A150" s="37" t="s">
        <v>854</v>
      </c>
      <c r="B150" s="37" t="s">
        <v>855</v>
      </c>
      <c r="C150" s="761"/>
      <c r="D150" s="761"/>
      <c r="E150" s="37" t="s">
        <v>768</v>
      </c>
      <c r="F150" s="37" t="s">
        <v>856</v>
      </c>
      <c r="G150" s="761"/>
      <c r="H150" s="37"/>
      <c r="I150" s="37"/>
      <c r="J150" s="37"/>
      <c r="K150" s="37"/>
      <c r="L150" s="37"/>
      <c r="M150" s="37"/>
      <c r="N150" s="37"/>
      <c r="O150" s="37"/>
      <c r="P150" s="37"/>
      <c r="Q150" s="772">
        <v>0</v>
      </c>
      <c r="R150" s="772">
        <v>0</v>
      </c>
      <c r="S150" s="772">
        <v>0</v>
      </c>
      <c r="T150" s="772"/>
      <c r="U150" s="772"/>
      <c r="V150" s="772"/>
      <c r="W150" s="772"/>
      <c r="X150" s="979">
        <f>76248.96+1000+1500+2200</f>
        <v>80948.960000000006</v>
      </c>
      <c r="Y150" s="772">
        <v>0</v>
      </c>
      <c r="Z150" s="772">
        <v>0</v>
      </c>
      <c r="AA150" s="772">
        <v>0</v>
      </c>
      <c r="AB150" s="772">
        <v>0</v>
      </c>
    </row>
    <row r="151" spans="1:28">
      <c r="A151" s="37" t="s">
        <v>857</v>
      </c>
      <c r="B151" s="37" t="s">
        <v>858</v>
      </c>
      <c r="C151" s="761"/>
      <c r="D151" s="761"/>
      <c r="E151" s="37" t="s">
        <v>768</v>
      </c>
      <c r="F151" s="37" t="s">
        <v>859</v>
      </c>
      <c r="G151" s="761"/>
      <c r="H151" s="37"/>
      <c r="I151" s="37"/>
      <c r="J151" s="37"/>
      <c r="K151" s="37"/>
      <c r="L151" s="37"/>
      <c r="M151" s="37"/>
      <c r="N151" s="37"/>
      <c r="O151" s="37"/>
      <c r="P151" s="37"/>
      <c r="Q151" s="772"/>
      <c r="R151" s="772"/>
      <c r="S151" s="772"/>
      <c r="T151" s="772"/>
      <c r="U151" s="772"/>
      <c r="V151" s="772"/>
      <c r="W151" s="772"/>
      <c r="X151" s="979">
        <f>70631+1000+1500+2200</f>
        <v>75331</v>
      </c>
      <c r="Y151" s="772"/>
      <c r="Z151" s="772"/>
      <c r="AA151" s="772"/>
      <c r="AB151" s="772"/>
    </row>
    <row r="152" spans="1:28">
      <c r="A152" s="37" t="s">
        <v>860</v>
      </c>
      <c r="B152" s="37" t="s">
        <v>861</v>
      </c>
      <c r="C152" s="761"/>
      <c r="D152" s="761"/>
      <c r="E152" s="37" t="s">
        <v>768</v>
      </c>
      <c r="F152" s="37" t="s">
        <v>862</v>
      </c>
      <c r="G152" s="761"/>
      <c r="H152" s="37"/>
      <c r="I152" s="37"/>
      <c r="J152" s="37"/>
      <c r="K152" s="37"/>
      <c r="L152" s="37"/>
      <c r="M152" s="37"/>
      <c r="N152" s="37"/>
      <c r="O152" s="37"/>
      <c r="P152" s="37"/>
      <c r="Q152" s="772"/>
      <c r="R152" s="772"/>
      <c r="S152" s="772"/>
      <c r="T152" s="772"/>
      <c r="U152" s="772"/>
      <c r="V152" s="772"/>
      <c r="W152" s="772"/>
      <c r="X152" s="979">
        <f>65518.56+1000+1500+2200</f>
        <v>70218.559999999998</v>
      </c>
      <c r="Y152" s="772"/>
      <c r="Z152" s="772"/>
      <c r="AA152" s="772"/>
      <c r="AB152" s="772"/>
    </row>
    <row r="153" spans="1:28">
      <c r="A153" s="37" t="s">
        <v>863</v>
      </c>
      <c r="B153" s="37" t="s">
        <v>864</v>
      </c>
      <c r="C153" s="761"/>
      <c r="D153" s="761"/>
      <c r="E153" s="37" t="s">
        <v>768</v>
      </c>
      <c r="F153" s="37" t="s">
        <v>859</v>
      </c>
      <c r="G153" s="761"/>
      <c r="H153" s="37"/>
      <c r="I153" s="37"/>
      <c r="J153" s="37"/>
      <c r="K153" s="37"/>
      <c r="L153" s="37"/>
      <c r="M153" s="37"/>
      <c r="N153" s="37"/>
      <c r="O153" s="37"/>
      <c r="P153" s="37"/>
      <c r="Q153" s="772"/>
      <c r="R153" s="772"/>
      <c r="S153" s="772"/>
      <c r="T153" s="772"/>
      <c r="U153" s="772"/>
      <c r="V153" s="772"/>
      <c r="W153" s="772"/>
      <c r="X153" s="979">
        <f>70631.28+1000+1500+2200</f>
        <v>75331.28</v>
      </c>
      <c r="Y153" s="772"/>
      <c r="Z153" s="772"/>
      <c r="AA153" s="772"/>
      <c r="AB153" s="772"/>
    </row>
    <row r="154" spans="1:28">
      <c r="A154" s="37" t="s">
        <v>865</v>
      </c>
      <c r="B154" s="37" t="s">
        <v>861</v>
      </c>
      <c r="C154" s="761"/>
      <c r="D154" s="761"/>
      <c r="E154" s="37" t="s">
        <v>768</v>
      </c>
      <c r="F154" s="37" t="s">
        <v>866</v>
      </c>
      <c r="G154" s="761"/>
      <c r="H154" s="37"/>
      <c r="I154" s="37"/>
      <c r="J154" s="37"/>
      <c r="K154" s="37"/>
      <c r="L154" s="37"/>
      <c r="M154" s="37"/>
      <c r="N154" s="37"/>
      <c r="O154" s="37"/>
      <c r="P154" s="37"/>
      <c r="Q154" s="772">
        <v>0</v>
      </c>
      <c r="R154" s="772">
        <v>0</v>
      </c>
      <c r="S154" s="772">
        <v>0</v>
      </c>
      <c r="T154" s="772"/>
      <c r="U154" s="772"/>
      <c r="V154" s="772"/>
      <c r="W154" s="772"/>
      <c r="X154" s="979">
        <f>60931.84+1000+3300</f>
        <v>65231.839999999997</v>
      </c>
      <c r="Y154" s="772">
        <v>0</v>
      </c>
      <c r="Z154" s="772">
        <v>0</v>
      </c>
      <c r="AA154" s="772">
        <v>0</v>
      </c>
      <c r="AB154" s="772">
        <v>0</v>
      </c>
    </row>
    <row r="155" spans="1:28">
      <c r="A155" s="372" t="s">
        <v>867</v>
      </c>
      <c r="B155" s="372" t="s">
        <v>868</v>
      </c>
      <c r="C155" s="977"/>
      <c r="D155" s="977"/>
      <c r="E155" s="37" t="s">
        <v>768</v>
      </c>
      <c r="F155" s="372" t="s">
        <v>869</v>
      </c>
      <c r="G155" s="977"/>
      <c r="H155" s="372"/>
      <c r="I155" s="372"/>
      <c r="J155" s="372"/>
      <c r="K155" s="372"/>
      <c r="L155" s="372"/>
      <c r="M155" s="372"/>
      <c r="N155" s="372"/>
      <c r="O155" s="372"/>
      <c r="P155" s="372"/>
      <c r="Q155" s="978"/>
      <c r="R155" s="978"/>
      <c r="S155" s="978"/>
      <c r="T155" s="978"/>
      <c r="U155" s="978"/>
      <c r="V155" s="978"/>
      <c r="W155" s="978"/>
      <c r="X155" s="1002">
        <f>55069.68+1000</f>
        <v>56069.68</v>
      </c>
      <c r="Y155" s="978"/>
      <c r="Z155" s="978"/>
      <c r="AA155" s="978"/>
      <c r="AB155" s="978"/>
    </row>
    <row r="156" spans="1:28">
      <c r="A156" s="37" t="s">
        <v>870</v>
      </c>
      <c r="B156" s="37" t="s">
        <v>871</v>
      </c>
      <c r="C156" s="761"/>
      <c r="D156" s="761"/>
      <c r="E156" s="37" t="s">
        <v>768</v>
      </c>
      <c r="F156" s="37" t="s">
        <v>872</v>
      </c>
      <c r="G156" s="761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979">
        <f>53946.56</f>
        <v>53946.559999999998</v>
      </c>
      <c r="Y156" s="37"/>
      <c r="Z156" s="37"/>
      <c r="AA156" s="37"/>
      <c r="AB156" s="37"/>
    </row>
    <row r="157" spans="1:28">
      <c r="A157" s="37" t="s">
        <v>873</v>
      </c>
      <c r="B157" s="37" t="s">
        <v>874</v>
      </c>
      <c r="C157" s="761"/>
      <c r="D157" s="761"/>
      <c r="E157" s="37" t="s">
        <v>768</v>
      </c>
      <c r="F157" s="37" t="s">
        <v>779</v>
      </c>
      <c r="G157" s="761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979">
        <f>43504.16+1000+3300</f>
        <v>47804.160000000003</v>
      </c>
      <c r="Y157" s="37"/>
      <c r="Z157" s="37"/>
      <c r="AA157" s="37"/>
      <c r="AB157" s="37"/>
    </row>
    <row r="158" spans="1:28">
      <c r="A158" s="37" t="s">
        <v>875</v>
      </c>
      <c r="B158" s="37" t="s">
        <v>861</v>
      </c>
      <c r="C158" s="761"/>
      <c r="D158" s="761"/>
      <c r="E158" s="37" t="s">
        <v>768</v>
      </c>
      <c r="F158" s="37" t="s">
        <v>876</v>
      </c>
      <c r="G158" s="761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979">
        <f>56765.92+1000+3300</f>
        <v>61065.919999999998</v>
      </c>
      <c r="Y158" s="37"/>
      <c r="Z158" s="37"/>
      <c r="AA158" s="37"/>
      <c r="AB158" s="37"/>
    </row>
    <row r="159" spans="1:28">
      <c r="A159" s="37" t="s">
        <v>877</v>
      </c>
      <c r="B159" s="37" t="s">
        <v>878</v>
      </c>
      <c r="C159" s="761"/>
      <c r="D159" s="761"/>
      <c r="E159" s="37" t="s">
        <v>716</v>
      </c>
      <c r="F159" s="37" t="s">
        <v>879</v>
      </c>
      <c r="G159" s="761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979">
        <f>19543.68+2100</f>
        <v>21643.68</v>
      </c>
      <c r="Y159" s="37"/>
      <c r="Z159" s="37"/>
      <c r="AA159" s="37"/>
      <c r="AB159" s="37"/>
    </row>
    <row r="160" spans="1:28">
      <c r="A160" s="4" t="s">
        <v>746</v>
      </c>
      <c r="B160" s="37" t="s">
        <v>878</v>
      </c>
      <c r="C160" s="761"/>
      <c r="D160" s="761"/>
      <c r="E160" s="37" t="s">
        <v>716</v>
      </c>
      <c r="F160" s="37" t="s">
        <v>880</v>
      </c>
      <c r="G160" s="761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979">
        <f>18387.2+2100</f>
        <v>20487.2</v>
      </c>
      <c r="Y160" s="37"/>
      <c r="Z160" s="37"/>
      <c r="AA160" s="37"/>
      <c r="AB160" s="37"/>
    </row>
    <row r="161" spans="1:28">
      <c r="A161" s="770" t="s">
        <v>881</v>
      </c>
      <c r="B161" s="770"/>
      <c r="C161" s="771"/>
      <c r="D161" s="771"/>
      <c r="E161" s="770"/>
      <c r="F161" s="770"/>
      <c r="G161" s="771"/>
      <c r="H161" s="770"/>
      <c r="I161" s="770"/>
      <c r="J161" s="770"/>
      <c r="K161" s="770"/>
      <c r="L161" s="770"/>
      <c r="M161" s="770"/>
      <c r="N161" s="770"/>
      <c r="O161" s="770"/>
      <c r="P161" s="770"/>
      <c r="Q161" s="774">
        <f t="shared" ref="Q161:AB161" si="47">SUM(Q150:Q154)</f>
        <v>0</v>
      </c>
      <c r="R161" s="774">
        <f t="shared" si="47"/>
        <v>0</v>
      </c>
      <c r="S161" s="774">
        <f t="shared" si="47"/>
        <v>0</v>
      </c>
      <c r="T161" s="774">
        <f t="shared" si="47"/>
        <v>0</v>
      </c>
      <c r="U161" s="774">
        <f t="shared" si="47"/>
        <v>0</v>
      </c>
      <c r="V161" s="774">
        <f t="shared" si="47"/>
        <v>0</v>
      </c>
      <c r="W161" s="774">
        <f t="shared" si="47"/>
        <v>0</v>
      </c>
      <c r="X161" s="774">
        <f>SUM(X149:X160)</f>
        <v>721578.84000000008</v>
      </c>
      <c r="Y161" s="774">
        <f t="shared" si="47"/>
        <v>0</v>
      </c>
      <c r="Z161" s="774">
        <f t="shared" si="47"/>
        <v>0</v>
      </c>
      <c r="AA161" s="774">
        <f t="shared" si="47"/>
        <v>0</v>
      </c>
      <c r="AB161" s="774">
        <f t="shared" si="47"/>
        <v>0</v>
      </c>
    </row>
    <row r="163" spans="1:28">
      <c r="A163" s="37" t="s">
        <v>882</v>
      </c>
      <c r="B163" s="37" t="s">
        <v>883</v>
      </c>
      <c r="C163" s="761"/>
      <c r="D163" s="761"/>
      <c r="E163" s="37" t="s">
        <v>724</v>
      </c>
      <c r="F163" s="37"/>
      <c r="G163" s="761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980">
        <f>371/3</f>
        <v>123.66666666666667</v>
      </c>
      <c r="U163" s="980">
        <v>200</v>
      </c>
      <c r="V163" s="980">
        <v>200</v>
      </c>
      <c r="W163" s="980">
        <v>200</v>
      </c>
      <c r="X163" s="37"/>
      <c r="Y163" s="37"/>
      <c r="Z163" s="37"/>
      <c r="AA163" s="37"/>
      <c r="AB163" s="37"/>
    </row>
    <row r="164" spans="1:28">
      <c r="A164" s="37" t="s">
        <v>884</v>
      </c>
      <c r="B164" s="37" t="s">
        <v>883</v>
      </c>
      <c r="C164" s="761"/>
      <c r="D164" s="761"/>
      <c r="E164" s="37" t="s">
        <v>724</v>
      </c>
      <c r="F164" s="37"/>
      <c r="G164" s="761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980">
        <f t="shared" ref="T164:T165" si="48">371/3</f>
        <v>123.66666666666667</v>
      </c>
      <c r="U164" s="980">
        <v>200</v>
      </c>
      <c r="V164" s="980">
        <v>200</v>
      </c>
      <c r="W164" s="980">
        <v>200</v>
      </c>
      <c r="X164" s="37"/>
      <c r="Y164" s="37"/>
      <c r="Z164" s="37"/>
      <c r="AA164" s="37"/>
      <c r="AB164" s="37"/>
    </row>
    <row r="165" spans="1:28">
      <c r="A165" s="4" t="s">
        <v>885</v>
      </c>
      <c r="B165" s="37" t="s">
        <v>883</v>
      </c>
      <c r="C165" s="761"/>
      <c r="D165" s="761"/>
      <c r="E165" s="37" t="s">
        <v>724</v>
      </c>
      <c r="F165" s="37"/>
      <c r="G165" s="761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980">
        <f t="shared" si="48"/>
        <v>123.66666666666667</v>
      </c>
      <c r="U165" s="980">
        <v>200</v>
      </c>
      <c r="V165" s="980">
        <v>200</v>
      </c>
      <c r="W165" s="980">
        <v>200</v>
      </c>
      <c r="X165" s="37"/>
      <c r="Y165" s="37"/>
      <c r="Z165" s="37"/>
      <c r="AA165" s="37"/>
      <c r="AB165" s="37"/>
    </row>
    <row r="166" spans="1:28">
      <c r="A166" s="770" t="s">
        <v>886</v>
      </c>
      <c r="B166" s="770"/>
      <c r="C166" s="771"/>
      <c r="D166" s="771"/>
      <c r="E166" s="770"/>
      <c r="F166" s="770"/>
      <c r="G166" s="771"/>
      <c r="H166" s="770"/>
      <c r="I166" s="770"/>
      <c r="J166" s="770"/>
      <c r="K166" s="770"/>
      <c r="L166" s="770"/>
      <c r="M166" s="770"/>
      <c r="N166" s="770"/>
      <c r="O166" s="770"/>
      <c r="P166" s="770"/>
      <c r="Q166" s="774">
        <f>SUM(Q155:Q159)</f>
        <v>0</v>
      </c>
      <c r="R166" s="774">
        <f>SUM(R155:R159)</f>
        <v>0</v>
      </c>
      <c r="S166" s="774">
        <f>SUM(S155:S159)</f>
        <v>0</v>
      </c>
      <c r="T166" s="986">
        <f>SUM(T163:T165)</f>
        <v>371</v>
      </c>
      <c r="U166" s="986">
        <f t="shared" ref="U166:W166" si="49">SUM(U163:U165)</f>
        <v>600</v>
      </c>
      <c r="V166" s="986">
        <f t="shared" si="49"/>
        <v>600</v>
      </c>
      <c r="W166" s="986">
        <f t="shared" si="49"/>
        <v>600</v>
      </c>
      <c r="X166" s="774">
        <f>SUM(X155:X159)</f>
        <v>240530</v>
      </c>
      <c r="Y166" s="774">
        <f>SUM(Y155:Y159)</f>
        <v>0</v>
      </c>
      <c r="Z166" s="774">
        <f>SUM(Z155:Z159)</f>
        <v>0</v>
      </c>
      <c r="AA166" s="774">
        <f>SUM(AA155:AA159)</f>
        <v>0</v>
      </c>
      <c r="AB166" s="774">
        <f>SUM(AB155:AB159)</f>
        <v>0</v>
      </c>
    </row>
    <row r="168" spans="1:28">
      <c r="A168" s="758" t="s">
        <v>508</v>
      </c>
      <c r="B168" s="758"/>
      <c r="C168" s="759"/>
      <c r="D168" s="759"/>
      <c r="E168" s="758"/>
      <c r="F168" s="758"/>
      <c r="G168" s="759"/>
      <c r="H168" s="758"/>
      <c r="I168" s="758"/>
      <c r="J168" s="758"/>
      <c r="K168" s="758"/>
      <c r="L168" s="758"/>
      <c r="M168" s="758"/>
      <c r="N168" s="758"/>
      <c r="O168" s="758"/>
      <c r="P168" s="758"/>
      <c r="Q168" s="760"/>
      <c r="R168" s="760"/>
      <c r="S168" s="760"/>
      <c r="T168" s="760"/>
      <c r="U168" s="760"/>
      <c r="V168" s="760"/>
      <c r="W168" s="760"/>
      <c r="X168" s="760"/>
      <c r="Y168" s="760"/>
      <c r="Z168" s="760"/>
      <c r="AA168" s="760"/>
      <c r="AB168" s="760"/>
    </row>
    <row r="169" spans="1:28">
      <c r="A169" s="762"/>
      <c r="B169" s="762"/>
      <c r="C169" s="763"/>
      <c r="D169" s="763"/>
      <c r="E169" s="764" t="s">
        <v>724</v>
      </c>
      <c r="F169" s="764"/>
      <c r="G169" s="765"/>
      <c r="H169" s="764"/>
      <c r="I169" s="764"/>
      <c r="J169" s="764"/>
      <c r="K169" s="764"/>
      <c r="L169" s="764"/>
      <c r="M169" s="764"/>
      <c r="N169" s="764"/>
      <c r="O169" s="764"/>
      <c r="P169" s="764"/>
      <c r="Q169" s="775" t="e">
        <f>+#REF!+#REF!+#REF!</f>
        <v>#REF!</v>
      </c>
      <c r="R169" s="775" t="e">
        <f>+#REF!+#REF!+#REF!</f>
        <v>#REF!</v>
      </c>
      <c r="S169" s="775">
        <f>0</f>
        <v>0</v>
      </c>
      <c r="T169" s="775">
        <f>SUMIF(E149:E155, "Elected", T149:T161)</f>
        <v>77221</v>
      </c>
      <c r="U169" s="775">
        <f>SUMIF(E149:E161, "Elected", U149:U161)</f>
        <v>79721</v>
      </c>
      <c r="V169" s="775">
        <f>SUMIF(E149:E155, "Elected", V149:V161)</f>
        <v>85000</v>
      </c>
      <c r="W169" s="775">
        <f>SUMIF(E149:E155, "Elected", W149:W161)</f>
        <v>89000</v>
      </c>
      <c r="X169" s="775">
        <f>SUMIF(E149:E160, "Elected", X149:X161)</f>
        <v>93500</v>
      </c>
      <c r="Y169" s="775" t="e">
        <f>+#REF!+#REF!+#REF!</f>
        <v>#REF!</v>
      </c>
      <c r="Z169" s="775" t="e">
        <f>+#REF!+#REF!+#REF!</f>
        <v>#REF!</v>
      </c>
      <c r="AA169" s="775" t="e">
        <f>+#REF!+#REF!+#REF!</f>
        <v>#REF!</v>
      </c>
      <c r="AB169" s="775" t="e">
        <f>+#REF!+#REF!+#REF!</f>
        <v>#REF!</v>
      </c>
    </row>
    <row r="170" spans="1:28">
      <c r="A170" s="762"/>
      <c r="B170" s="762"/>
      <c r="C170" s="763"/>
      <c r="D170" s="763"/>
      <c r="E170" s="764" t="s">
        <v>740</v>
      </c>
      <c r="F170" s="764"/>
      <c r="G170" s="765"/>
      <c r="H170" s="764"/>
      <c r="I170" s="764"/>
      <c r="J170" s="764"/>
      <c r="K170" s="764"/>
      <c r="L170" s="764"/>
      <c r="M170" s="764"/>
      <c r="N170" s="764"/>
      <c r="O170" s="764"/>
      <c r="P170" s="764"/>
      <c r="Q170" s="775" t="e">
        <f>+#REF!</f>
        <v>#REF!</v>
      </c>
      <c r="R170" s="775" t="e">
        <f>+#REF!</f>
        <v>#REF!</v>
      </c>
      <c r="S170" s="775">
        <f>0</f>
        <v>0</v>
      </c>
      <c r="T170" s="775">
        <f>SUMIF(E149:E155, "Contract", T149:T155)</f>
        <v>0</v>
      </c>
      <c r="U170" s="775">
        <f>SUMIF(E149:E155, "Contract", U149:U155)</f>
        <v>0</v>
      </c>
      <c r="V170" s="775">
        <f>SUMIF(E149:E155, "Contract", V149:V155)</f>
        <v>0</v>
      </c>
      <c r="W170" s="775">
        <f>SUMIF(E149:E155, "Contract", W149:W161)</f>
        <v>0</v>
      </c>
      <c r="X170" s="775">
        <f>SUMIF(E149:E160, "Contract", X149:X160)</f>
        <v>0</v>
      </c>
      <c r="Y170" s="775" t="e">
        <f>+#REF!</f>
        <v>#REF!</v>
      </c>
      <c r="Z170" s="775" t="e">
        <f>+#REF!</f>
        <v>#REF!</v>
      </c>
      <c r="AA170" s="775" t="e">
        <f>+#REF!</f>
        <v>#REF!</v>
      </c>
      <c r="AB170" s="775" t="e">
        <f>+#REF!</f>
        <v>#REF!</v>
      </c>
    </row>
    <row r="171" spans="1:28">
      <c r="A171" s="762"/>
      <c r="B171" s="762"/>
      <c r="C171" s="763"/>
      <c r="D171" s="763"/>
      <c r="E171" s="764" t="s">
        <v>716</v>
      </c>
      <c r="F171" s="764"/>
      <c r="G171" s="765"/>
      <c r="H171" s="764"/>
      <c r="I171" s="764"/>
      <c r="J171" s="764"/>
      <c r="K171" s="764"/>
      <c r="L171" s="764"/>
      <c r="M171" s="764"/>
      <c r="N171" s="764"/>
      <c r="O171" s="764"/>
      <c r="P171" s="764"/>
      <c r="Q171" s="775" t="e">
        <f>+#REF!+#REF!</f>
        <v>#REF!</v>
      </c>
      <c r="R171" s="775" t="e">
        <f>+#REF!+#REF!</f>
        <v>#REF!</v>
      </c>
      <c r="S171" s="775">
        <f>0</f>
        <v>0</v>
      </c>
      <c r="T171" s="775">
        <f>SUMIF(E149:E155, "Exempt", T149:T161)</f>
        <v>0</v>
      </c>
      <c r="U171" s="775">
        <f>SUMIF(E149:E155, "Exempt", U149:U161)</f>
        <v>0</v>
      </c>
      <c r="V171" s="775">
        <f>SUMIF(E149:E155, "Exempt", V149:V161)</f>
        <v>0</v>
      </c>
      <c r="W171" s="775">
        <f>SUMIF(E149:E155, "Exempt", W149:W161)</f>
        <v>0</v>
      </c>
      <c r="X171" s="775">
        <f>SUMIF(E149:E160, "Exempt", X149:X160)</f>
        <v>42130.880000000005</v>
      </c>
      <c r="Y171" s="775" t="e">
        <f>+#REF!+#REF!</f>
        <v>#REF!</v>
      </c>
      <c r="Z171" s="775" t="e">
        <f>+#REF!+#REF!</f>
        <v>#REF!</v>
      </c>
      <c r="AA171" s="775" t="e">
        <f>+#REF!+#REF!</f>
        <v>#REF!</v>
      </c>
      <c r="AB171" s="775" t="e">
        <f>+#REF!+#REF!</f>
        <v>#REF!</v>
      </c>
    </row>
    <row r="172" spans="1:28">
      <c r="A172" s="762"/>
      <c r="B172" s="762"/>
      <c r="C172" s="763"/>
      <c r="D172" s="763"/>
      <c r="E172" s="764" t="s">
        <v>768</v>
      </c>
      <c r="F172" s="764"/>
      <c r="G172" s="765"/>
      <c r="H172" s="764"/>
      <c r="I172" s="764"/>
      <c r="J172" s="764"/>
      <c r="K172" s="764"/>
      <c r="L172" s="764"/>
      <c r="M172" s="764"/>
      <c r="N172" s="764"/>
      <c r="O172" s="764"/>
      <c r="P172" s="764"/>
      <c r="Q172" s="775" t="e">
        <f>+#REF!</f>
        <v>#REF!</v>
      </c>
      <c r="R172" s="775" t="e">
        <f>+#REF!</f>
        <v>#REF!</v>
      </c>
      <c r="S172" s="775">
        <f>0</f>
        <v>0</v>
      </c>
      <c r="T172" s="775">
        <f>SUMIF(E149:E155, "Union", T149:T161)</f>
        <v>0</v>
      </c>
      <c r="U172" s="775">
        <f>SUMIF(E149:E155, "Union", U149:U161)</f>
        <v>0</v>
      </c>
      <c r="V172" s="775">
        <f>SUMIF(E149:E155, "Union", V149:V161)</f>
        <v>0</v>
      </c>
      <c r="W172" s="775">
        <f>SUMIF(E149:E155, "Union", W149:W161)</f>
        <v>0</v>
      </c>
      <c r="X172" s="775">
        <f>SUMIF(E149:E160, "Union", X149:X160)</f>
        <v>585947.96000000008</v>
      </c>
      <c r="Y172" s="775" t="e">
        <f>+#REF!</f>
        <v>#REF!</v>
      </c>
      <c r="Z172" s="775" t="e">
        <f>+#REF!</f>
        <v>#REF!</v>
      </c>
      <c r="AA172" s="775" t="e">
        <f>+#REF!</f>
        <v>#REF!</v>
      </c>
      <c r="AB172" s="775" t="e">
        <f>+#REF!</f>
        <v>#REF!</v>
      </c>
    </row>
    <row r="173" spans="1:28">
      <c r="A173" s="762"/>
      <c r="B173" s="762"/>
      <c r="C173" s="763"/>
      <c r="D173" s="763"/>
      <c r="E173" s="764" t="s">
        <v>291</v>
      </c>
      <c r="F173" s="764"/>
      <c r="G173" s="765"/>
      <c r="H173" s="764"/>
      <c r="I173" s="764"/>
      <c r="J173" s="764"/>
      <c r="K173" s="764"/>
      <c r="L173" s="764"/>
      <c r="M173" s="764"/>
      <c r="N173" s="764"/>
      <c r="O173" s="764"/>
      <c r="P173" s="764"/>
      <c r="Q173" s="775" t="e">
        <f>+#REF!</f>
        <v>#REF!</v>
      </c>
      <c r="R173" s="775" t="e">
        <f>+#REF!</f>
        <v>#REF!</v>
      </c>
      <c r="S173" s="775">
        <f>0</f>
        <v>0</v>
      </c>
      <c r="T173" s="775">
        <f t="shared" ref="T173:V173" si="50">SUM(T169:T172)</f>
        <v>77221</v>
      </c>
      <c r="U173" s="775">
        <f t="shared" si="50"/>
        <v>79721</v>
      </c>
      <c r="V173" s="775">
        <f t="shared" si="50"/>
        <v>85000</v>
      </c>
      <c r="W173" s="775">
        <f>SUM(W169:W172)</f>
        <v>89000</v>
      </c>
      <c r="X173" s="775">
        <f>SUM(X169:X172)</f>
        <v>721578.84000000008</v>
      </c>
      <c r="Y173" s="775" t="e">
        <f>+#REF!</f>
        <v>#REF!</v>
      </c>
      <c r="Z173" s="775" t="e">
        <f>+#REF!</f>
        <v>#REF!</v>
      </c>
      <c r="AA173" s="775" t="e">
        <f>+#REF!</f>
        <v>#REF!</v>
      </c>
      <c r="AB173" s="775" t="e">
        <f>+#REF!</f>
        <v>#REF!</v>
      </c>
    </row>
    <row r="175" spans="1:28">
      <c r="A175" s="37" t="s">
        <v>887</v>
      </c>
      <c r="B175" s="37" t="s">
        <v>888</v>
      </c>
      <c r="C175" s="761"/>
      <c r="D175" s="761"/>
      <c r="E175" s="37" t="s">
        <v>724</v>
      </c>
      <c r="F175" s="37"/>
      <c r="G175" s="761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980">
        <f>2292/3</f>
        <v>764</v>
      </c>
      <c r="U175" s="980">
        <v>1000</v>
      </c>
      <c r="V175" s="980">
        <v>1000</v>
      </c>
      <c r="W175" s="980">
        <v>1000</v>
      </c>
      <c r="X175" s="980">
        <v>1000</v>
      </c>
      <c r="Y175" s="980">
        <v>1000</v>
      </c>
      <c r="Z175" s="980">
        <v>1000</v>
      </c>
      <c r="AA175" s="980">
        <v>1000</v>
      </c>
      <c r="AB175" s="980">
        <v>1000</v>
      </c>
    </row>
    <row r="176" spans="1:28">
      <c r="A176" s="37" t="s">
        <v>889</v>
      </c>
      <c r="B176" s="37" t="s">
        <v>888</v>
      </c>
      <c r="C176" s="761"/>
      <c r="D176" s="761"/>
      <c r="E176" s="37" t="s">
        <v>724</v>
      </c>
      <c r="F176" s="37"/>
      <c r="G176" s="761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980">
        <f t="shared" ref="T176:T177" si="51">2292/3</f>
        <v>764</v>
      </c>
      <c r="U176" s="980">
        <v>1000</v>
      </c>
      <c r="V176" s="980">
        <v>1000</v>
      </c>
      <c r="W176" s="980">
        <v>1000</v>
      </c>
      <c r="X176" s="980">
        <v>1000</v>
      </c>
      <c r="Y176" s="980">
        <v>1000</v>
      </c>
      <c r="Z176" s="980">
        <v>1000</v>
      </c>
      <c r="AA176" s="980">
        <v>1000</v>
      </c>
      <c r="AB176" s="980">
        <v>1000</v>
      </c>
    </row>
    <row r="177" spans="1:28">
      <c r="A177" s="37" t="s">
        <v>890</v>
      </c>
      <c r="B177" s="37" t="s">
        <v>888</v>
      </c>
      <c r="C177" s="761"/>
      <c r="D177" s="761"/>
      <c r="E177" s="37" t="s">
        <v>724</v>
      </c>
      <c r="F177" s="37"/>
      <c r="G177" s="761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980">
        <f t="shared" si="51"/>
        <v>764</v>
      </c>
      <c r="U177" s="980">
        <v>1000</v>
      </c>
      <c r="V177" s="980">
        <v>1000</v>
      </c>
      <c r="W177" s="980">
        <v>1000</v>
      </c>
      <c r="X177" s="980">
        <v>1000</v>
      </c>
      <c r="Y177" s="980">
        <v>1000</v>
      </c>
      <c r="Z177" s="980">
        <v>1000</v>
      </c>
      <c r="AA177" s="980">
        <v>1000</v>
      </c>
      <c r="AB177" s="980">
        <v>1000</v>
      </c>
    </row>
    <row r="178" spans="1:28">
      <c r="A178" s="37" t="s">
        <v>891</v>
      </c>
      <c r="B178" s="37" t="s">
        <v>794</v>
      </c>
      <c r="C178" s="761"/>
      <c r="D178" s="761"/>
      <c r="E178" s="37" t="s">
        <v>716</v>
      </c>
      <c r="F178" s="37"/>
      <c r="G178" s="761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980">
        <v>0</v>
      </c>
      <c r="U178" s="980">
        <v>0</v>
      </c>
      <c r="V178" s="980">
        <v>0</v>
      </c>
      <c r="W178" s="980">
        <v>0</v>
      </c>
      <c r="X178" s="37"/>
      <c r="Y178" s="37"/>
      <c r="Z178" s="37"/>
      <c r="AA178" s="37"/>
      <c r="AB178" s="37"/>
    </row>
    <row r="179" spans="1:28">
      <c r="A179" s="770" t="s">
        <v>892</v>
      </c>
      <c r="B179" s="770"/>
      <c r="C179" s="771"/>
      <c r="D179" s="771"/>
      <c r="E179" s="770"/>
      <c r="F179" s="770"/>
      <c r="G179" s="771"/>
      <c r="H179" s="770"/>
      <c r="I179" s="770"/>
      <c r="J179" s="770"/>
      <c r="K179" s="770"/>
      <c r="L179" s="770"/>
      <c r="M179" s="770"/>
      <c r="N179" s="770"/>
      <c r="O179" s="770"/>
      <c r="P179" s="770"/>
      <c r="Q179" s="774" t="e">
        <f>SUM(Q167:Q171)</f>
        <v>#REF!</v>
      </c>
      <c r="R179" s="774" t="e">
        <f>SUM(R167:R171)</f>
        <v>#REF!</v>
      </c>
      <c r="S179" s="774">
        <f>SUM(S175:S178)</f>
        <v>0</v>
      </c>
      <c r="T179" s="986">
        <f>SUM(T175:T177)</f>
        <v>2292</v>
      </c>
      <c r="U179" s="986">
        <f>SUM(U175:U177)</f>
        <v>3000</v>
      </c>
      <c r="V179" s="986">
        <f>SUM(V175:V177)</f>
        <v>3000</v>
      </c>
      <c r="W179" s="986">
        <f>SUM(W175:W177)</f>
        <v>3000</v>
      </c>
      <c r="X179" s="774">
        <f>SUM(X175:X178)</f>
        <v>3000</v>
      </c>
      <c r="Y179" s="774">
        <f t="shared" ref="Y179:AB179" si="52">SUM(Y175:Y178)</f>
        <v>3000</v>
      </c>
      <c r="Z179" s="774">
        <f t="shared" si="52"/>
        <v>3000</v>
      </c>
      <c r="AA179" s="774">
        <f t="shared" si="52"/>
        <v>3000</v>
      </c>
      <c r="AB179" s="774">
        <f t="shared" si="52"/>
        <v>3000</v>
      </c>
    </row>
    <row r="181" spans="1:28">
      <c r="A181" s="37" t="s">
        <v>893</v>
      </c>
      <c r="B181" s="37" t="s">
        <v>894</v>
      </c>
      <c r="C181" s="761"/>
      <c r="D181" s="761"/>
      <c r="E181" s="37" t="s">
        <v>716</v>
      </c>
      <c r="F181" s="37" t="s">
        <v>876</v>
      </c>
      <c r="G181" s="761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980">
        <v>26000</v>
      </c>
      <c r="U181" s="980">
        <v>26000</v>
      </c>
      <c r="V181" s="980">
        <v>31954</v>
      </c>
      <c r="W181" s="980">
        <v>34034</v>
      </c>
      <c r="X181" s="980">
        <v>59971</v>
      </c>
      <c r="Y181" s="980">
        <f>X181*1.03</f>
        <v>61770.130000000005</v>
      </c>
      <c r="Z181" s="980">
        <f t="shared" ref="Z181:AB181" si="53">Y181*1.03</f>
        <v>63623.233900000007</v>
      </c>
      <c r="AA181" s="980">
        <f t="shared" si="53"/>
        <v>65531.930917000005</v>
      </c>
      <c r="AB181" s="980">
        <f t="shared" si="53"/>
        <v>67497.888844510002</v>
      </c>
    </row>
    <row r="182" spans="1:28">
      <c r="A182" s="37" t="s">
        <v>895</v>
      </c>
      <c r="B182" s="37" t="s">
        <v>896</v>
      </c>
      <c r="C182" s="761"/>
      <c r="D182" s="761"/>
      <c r="E182" s="37" t="s">
        <v>716</v>
      </c>
      <c r="F182" s="37" t="s">
        <v>897</v>
      </c>
      <c r="G182" s="761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980"/>
      <c r="U182" s="980"/>
      <c r="V182" s="980"/>
      <c r="W182" s="980"/>
      <c r="X182" s="980">
        <v>5317</v>
      </c>
      <c r="Y182" s="980">
        <v>13599.25</v>
      </c>
      <c r="Z182" s="980">
        <v>16380</v>
      </c>
      <c r="AA182" s="980">
        <f>Z182*1.03</f>
        <v>16871.400000000001</v>
      </c>
      <c r="AB182" s="980">
        <f>AA182*1.03</f>
        <v>17377.542000000001</v>
      </c>
    </row>
    <row r="183" spans="1:28">
      <c r="A183" s="770" t="s">
        <v>898</v>
      </c>
      <c r="B183" s="770"/>
      <c r="C183" s="771"/>
      <c r="D183" s="771"/>
      <c r="E183" s="770"/>
      <c r="F183" s="770"/>
      <c r="G183" s="771"/>
      <c r="H183" s="770"/>
      <c r="I183" s="770"/>
      <c r="J183" s="770"/>
      <c r="K183" s="770"/>
      <c r="L183" s="770"/>
      <c r="M183" s="770"/>
      <c r="N183" s="770"/>
      <c r="O183" s="770"/>
      <c r="P183" s="770"/>
      <c r="Q183" s="774" t="e">
        <f>SUM(Q170:Q174)</f>
        <v>#REF!</v>
      </c>
      <c r="R183" s="774" t="e">
        <f>SUM(R170:R174)</f>
        <v>#REF!</v>
      </c>
      <c r="S183" s="774">
        <f>SUM(S181:S182)</f>
        <v>0</v>
      </c>
      <c r="T183" s="986">
        <f>SUM(T181)</f>
        <v>26000</v>
      </c>
      <c r="U183" s="986">
        <f>SUM(U181)</f>
        <v>26000</v>
      </c>
      <c r="V183" s="986">
        <f>SUM(V181)</f>
        <v>31954</v>
      </c>
      <c r="W183" s="986">
        <f>SUM(W181)</f>
        <v>34034</v>
      </c>
      <c r="X183" s="986">
        <f>SUM(X181:X182)</f>
        <v>65288</v>
      </c>
      <c r="Y183" s="986">
        <f t="shared" ref="Y183:AB183" si="54">SUM(Y181:Y182)</f>
        <v>75369.38</v>
      </c>
      <c r="Z183" s="986">
        <f t="shared" si="54"/>
        <v>80003.233900000007</v>
      </c>
      <c r="AA183" s="986">
        <f t="shared" si="54"/>
        <v>82403.330917000014</v>
      </c>
      <c r="AB183" s="986">
        <f t="shared" si="54"/>
        <v>84875.430844510003</v>
      </c>
    </row>
    <row r="185" spans="1:28">
      <c r="A185" s="37" t="s">
        <v>899</v>
      </c>
      <c r="B185" s="37" t="s">
        <v>900</v>
      </c>
      <c r="C185" s="761"/>
      <c r="D185" s="761"/>
      <c r="E185" s="37" t="s">
        <v>716</v>
      </c>
      <c r="F185" s="37"/>
      <c r="G185" s="761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980">
        <v>8487</v>
      </c>
      <c r="U185" s="980">
        <v>8487</v>
      </c>
      <c r="V185" s="980">
        <v>8487</v>
      </c>
      <c r="W185" s="980">
        <v>8487</v>
      </c>
      <c r="X185" s="980">
        <v>8487</v>
      </c>
      <c r="Y185" s="980">
        <v>8487</v>
      </c>
      <c r="Z185" s="980">
        <v>8487</v>
      </c>
      <c r="AA185" s="980">
        <v>8487</v>
      </c>
      <c r="AB185" s="980">
        <v>8487</v>
      </c>
    </row>
    <row r="186" spans="1:28">
      <c r="A186" s="770" t="s">
        <v>901</v>
      </c>
      <c r="B186" s="770"/>
      <c r="C186" s="771"/>
      <c r="D186" s="771"/>
      <c r="E186" s="770"/>
      <c r="F186" s="770"/>
      <c r="G186" s="771"/>
      <c r="H186" s="770"/>
      <c r="I186" s="770"/>
      <c r="J186" s="770"/>
      <c r="K186" s="770"/>
      <c r="L186" s="770"/>
      <c r="M186" s="770"/>
      <c r="N186" s="770"/>
      <c r="O186" s="770"/>
      <c r="P186" s="770"/>
      <c r="Q186" s="774" t="e">
        <f>SUM(Q173:Q177)</f>
        <v>#REF!</v>
      </c>
      <c r="R186" s="774" t="e">
        <f>SUM(R173:R177)</f>
        <v>#REF!</v>
      </c>
      <c r="S186" s="774">
        <f>0</f>
        <v>0</v>
      </c>
      <c r="T186" s="986">
        <f>SUM(T185)</f>
        <v>8487</v>
      </c>
      <c r="U186" s="986">
        <f t="shared" ref="U186" si="55">SUM(U185)</f>
        <v>8487</v>
      </c>
      <c r="V186" s="986">
        <f t="shared" ref="V186" si="56">SUM(V185)</f>
        <v>8487</v>
      </c>
      <c r="W186" s="986">
        <f t="shared" ref="W186" si="57">SUM(W185)</f>
        <v>8487</v>
      </c>
      <c r="X186" s="986">
        <f t="shared" ref="X186" si="58">SUM(X185)</f>
        <v>8487</v>
      </c>
      <c r="Y186" s="986">
        <f t="shared" ref="Y186" si="59">SUM(Y185)</f>
        <v>8487</v>
      </c>
      <c r="Z186" s="986">
        <f t="shared" ref="Z186" si="60">SUM(Z185)</f>
        <v>8487</v>
      </c>
      <c r="AA186" s="986">
        <f t="shared" ref="AA186" si="61">SUM(AA185)</f>
        <v>8487</v>
      </c>
      <c r="AB186" s="986">
        <f t="shared" ref="AB186" si="62">SUM(AB185)</f>
        <v>8487</v>
      </c>
    </row>
    <row r="188" spans="1:28">
      <c r="A188" s="758" t="s">
        <v>902</v>
      </c>
      <c r="B188" s="758"/>
      <c r="C188" s="759"/>
      <c r="D188" s="759"/>
      <c r="E188" s="758"/>
      <c r="F188" s="758"/>
      <c r="G188" s="759"/>
      <c r="H188" s="758"/>
      <c r="I188" s="758"/>
      <c r="J188" s="758"/>
      <c r="K188" s="758"/>
      <c r="L188" s="758"/>
      <c r="M188" s="758"/>
      <c r="N188" s="758"/>
      <c r="O188" s="758"/>
      <c r="P188" s="758"/>
      <c r="Q188" s="760"/>
      <c r="R188" s="760"/>
      <c r="S188" s="760"/>
      <c r="T188" s="760"/>
      <c r="U188" s="760"/>
      <c r="V188" s="760"/>
      <c r="W188" s="760"/>
      <c r="X188" s="760"/>
      <c r="Y188" s="760"/>
      <c r="Z188" s="760"/>
      <c r="AA188" s="760"/>
      <c r="AB188" s="760"/>
    </row>
    <row r="189" spans="1:28">
      <c r="A189" s="762"/>
      <c r="B189" s="762"/>
      <c r="C189" s="763"/>
      <c r="D189" s="763"/>
      <c r="E189" s="764" t="s">
        <v>724</v>
      </c>
      <c r="F189" s="764"/>
      <c r="G189" s="765"/>
      <c r="H189" s="764"/>
      <c r="I189" s="764"/>
      <c r="J189" s="764"/>
      <c r="K189" s="764"/>
      <c r="L189" s="764"/>
      <c r="M189" s="764"/>
      <c r="N189" s="764"/>
      <c r="O189" s="764"/>
      <c r="P189" s="764"/>
      <c r="Q189" s="775" t="e">
        <f>+#REF!+#REF!+#REF!</f>
        <v>#REF!</v>
      </c>
      <c r="R189" s="775" t="e">
        <f>+#REF!+#REF!+#REF!</f>
        <v>#REF!</v>
      </c>
      <c r="S189" s="775">
        <v>0</v>
      </c>
      <c r="T189" s="775">
        <f ca="1">SUMIF(E175:E181, "Elected", T175:T178)</f>
        <v>2292</v>
      </c>
      <c r="U189" s="775">
        <f ca="1">SUMIF(E175:E181, "Elected", U175:U178)</f>
        <v>3000</v>
      </c>
      <c r="V189" s="775">
        <f ca="1">SUMIF(E175:E181, "Elected", V175:V178)</f>
        <v>3000</v>
      </c>
      <c r="W189" s="775">
        <f ca="1">SUMIF(E175:E181, "Elected", W175:W178)</f>
        <v>3000</v>
      </c>
      <c r="X189" s="775">
        <f>SUMIF(E175:E181, "Elected", X175:X186)</f>
        <v>3000</v>
      </c>
      <c r="Y189" s="775">
        <f ca="1">SUMIF(E175:E181, "Elected", Y175:Y178)</f>
        <v>3000</v>
      </c>
      <c r="Z189" s="775">
        <f>SUMIF(E175:E181, "Elected", Z175:Z186)</f>
        <v>3000</v>
      </c>
      <c r="AA189" s="775">
        <f ca="1">SUMIF(E175:E181, "Elected", AA175:AA178)</f>
        <v>3000</v>
      </c>
      <c r="AB189" s="775">
        <f>SUMIF(E175:E181, "Elected", AB175:AB186)</f>
        <v>3000</v>
      </c>
    </row>
    <row r="190" spans="1:28">
      <c r="A190" s="762"/>
      <c r="B190" s="762"/>
      <c r="C190" s="763"/>
      <c r="D190" s="763"/>
      <c r="E190" s="764" t="s">
        <v>740</v>
      </c>
      <c r="F190" s="764"/>
      <c r="G190" s="765"/>
      <c r="H190" s="764"/>
      <c r="I190" s="764"/>
      <c r="J190" s="764"/>
      <c r="K190" s="764"/>
      <c r="L190" s="764"/>
      <c r="M190" s="764"/>
      <c r="N190" s="764"/>
      <c r="O190" s="764"/>
      <c r="P190" s="764"/>
      <c r="Q190" s="775" t="e">
        <f>+#REF!</f>
        <v>#REF!</v>
      </c>
      <c r="R190" s="775" t="e">
        <f>+#REF!</f>
        <v>#REF!</v>
      </c>
      <c r="S190" s="775">
        <v>0</v>
      </c>
      <c r="T190" s="775">
        <f>SUMIF(E161:E167, "Contract", T161:T167)</f>
        <v>0</v>
      </c>
      <c r="U190" s="775">
        <f>SUMIF(E161:E167, "Contract", U161:U167)</f>
        <v>0</v>
      </c>
      <c r="V190" s="775">
        <f>SUMIF(E161:E167, "Contract", V161:V167)</f>
        <v>0</v>
      </c>
      <c r="W190" s="775">
        <f>SUMIF(E161:E167, "Contract", W161:W173)</f>
        <v>0</v>
      </c>
      <c r="X190" s="775">
        <f t="shared" ref="X190:AB190" si="63">SUMIF(F161:F167, "Contract", X161:X173)</f>
        <v>0</v>
      </c>
      <c r="Y190" s="775">
        <f t="shared" si="63"/>
        <v>0</v>
      </c>
      <c r="Z190" s="775">
        <f t="shared" si="63"/>
        <v>0</v>
      </c>
      <c r="AA190" s="775">
        <f t="shared" si="63"/>
        <v>0</v>
      </c>
      <c r="AB190" s="775">
        <f t="shared" si="63"/>
        <v>0</v>
      </c>
    </row>
    <row r="191" spans="1:28">
      <c r="A191" s="762"/>
      <c r="B191" s="762"/>
      <c r="C191" s="763"/>
      <c r="D191" s="763"/>
      <c r="E191" s="764" t="s">
        <v>716</v>
      </c>
      <c r="F191" s="764"/>
      <c r="G191" s="765"/>
      <c r="H191" s="764"/>
      <c r="I191" s="764"/>
      <c r="J191" s="764"/>
      <c r="K191" s="764"/>
      <c r="L191" s="764"/>
      <c r="M191" s="764"/>
      <c r="N191" s="764"/>
      <c r="O191" s="764"/>
      <c r="P191" s="764"/>
      <c r="Q191" s="775" t="e">
        <f>+#REF!+#REF!</f>
        <v>#REF!</v>
      </c>
      <c r="R191" s="775" t="e">
        <f>+#REF!+#REF!</f>
        <v>#REF!</v>
      </c>
      <c r="S191" s="775">
        <v>0</v>
      </c>
      <c r="T191" s="775">
        <f>SUMIF(E161:E167, "Exempt", T161:T173)</f>
        <v>0</v>
      </c>
      <c r="U191" s="775">
        <f>SUMIF(E161:E167, "Exempt", U161:U173)</f>
        <v>0</v>
      </c>
      <c r="V191" s="775">
        <f>SUMIF(E175:E185, "Exempt", V174:V186)</f>
        <v>32954</v>
      </c>
      <c r="W191" s="775">
        <f>SUMIF(E175:E185, "Exempt", W174:W187)</f>
        <v>35034</v>
      </c>
      <c r="X191" s="775">
        <f>SUMIF(E175:E185, "Exempt", X175:X186)</f>
        <v>73775</v>
      </c>
      <c r="Y191" s="775">
        <f>SUMIF(E175:E185, "Exempt", Y175:Y186)</f>
        <v>83856.38</v>
      </c>
      <c r="Z191" s="775">
        <f>SUMIF(E175:E185, "Exempt", Z175:Z187)</f>
        <v>88490.233900000007</v>
      </c>
      <c r="AA191" s="775">
        <f>SUMIF(E175:E185, "Exempt", AA175:AA186)</f>
        <v>90890.330917000014</v>
      </c>
      <c r="AB191" s="775">
        <f>SUMIF(E175:E185, "Exempt", AB175:AB186)</f>
        <v>93362.430844510003</v>
      </c>
    </row>
    <row r="192" spans="1:28">
      <c r="A192" s="762"/>
      <c r="B192" s="762"/>
      <c r="C192" s="763"/>
      <c r="D192" s="763"/>
      <c r="E192" s="764" t="s">
        <v>768</v>
      </c>
      <c r="F192" s="764"/>
      <c r="G192" s="765"/>
      <c r="H192" s="764"/>
      <c r="I192" s="764"/>
      <c r="J192" s="764"/>
      <c r="K192" s="764"/>
      <c r="L192" s="764"/>
      <c r="M192" s="764"/>
      <c r="N192" s="764"/>
      <c r="O192" s="764"/>
      <c r="P192" s="764"/>
      <c r="Q192" s="775" t="e">
        <f>+#REF!</f>
        <v>#REF!</v>
      </c>
      <c r="R192" s="775" t="e">
        <f>+#REF!</f>
        <v>#REF!</v>
      </c>
      <c r="S192" s="775">
        <v>0</v>
      </c>
      <c r="T192" s="775">
        <f>SUMIF(E161:E167, "Union", T161:T173)</f>
        <v>0</v>
      </c>
      <c r="U192" s="775">
        <f>SUMIF(E161:E167, "Union", U161:U173)</f>
        <v>0</v>
      </c>
      <c r="V192" s="775">
        <f>SUMIF(E161:E167, "Union", V161:V173)</f>
        <v>0</v>
      </c>
      <c r="W192" s="775">
        <f>SUMIF(E161:E167, "Union", W161:W173)</f>
        <v>0</v>
      </c>
      <c r="X192" s="775">
        <f t="shared" ref="X192" si="64">SUMIF(G161:G167, "Union", X161:X173)</f>
        <v>0</v>
      </c>
      <c r="Y192" s="775">
        <f t="shared" ref="Y192" si="65">SUMIF(G161:G167, "Union", Y161:Y173)</f>
        <v>0</v>
      </c>
      <c r="Z192" s="775">
        <f t="shared" ref="Z192" si="66">SUMIF(I161:I167, "Union", Z161:Z173)</f>
        <v>0</v>
      </c>
      <c r="AA192" s="775">
        <f t="shared" ref="AA192" si="67">SUMIF(I161:I167, "Union", AA161:AA173)</f>
        <v>0</v>
      </c>
      <c r="AB192" s="775">
        <f t="shared" ref="AB192" si="68">SUMIF(K161:K167, "Union", AB161:AB173)</f>
        <v>0</v>
      </c>
    </row>
    <row r="193" spans="1:28">
      <c r="A193" s="762"/>
      <c r="B193" s="762"/>
      <c r="C193" s="763"/>
      <c r="D193" s="763"/>
      <c r="E193" s="764" t="s">
        <v>291</v>
      </c>
      <c r="F193" s="764"/>
      <c r="G193" s="765"/>
      <c r="H193" s="764"/>
      <c r="I193" s="764"/>
      <c r="J193" s="764"/>
      <c r="K193" s="764"/>
      <c r="L193" s="764"/>
      <c r="M193" s="764"/>
      <c r="N193" s="764"/>
      <c r="O193" s="764"/>
      <c r="P193" s="764"/>
      <c r="Q193" s="775" t="e">
        <f>+#REF!</f>
        <v>#REF!</v>
      </c>
      <c r="R193" s="775" t="e">
        <f>+#REF!</f>
        <v>#REF!</v>
      </c>
      <c r="S193" s="775">
        <v>0</v>
      </c>
      <c r="T193" s="775">
        <f t="shared" ref="T193:V193" ca="1" si="69">SUM(T189:T192)</f>
        <v>2292</v>
      </c>
      <c r="U193" s="775">
        <f t="shared" ca="1" si="69"/>
        <v>3000</v>
      </c>
      <c r="V193" s="775">
        <f t="shared" ca="1" si="69"/>
        <v>35954</v>
      </c>
      <c r="W193" s="775">
        <f ca="1">SUM(W189:W192)</f>
        <v>38034</v>
      </c>
      <c r="X193" s="775">
        <f t="shared" ref="X193:AB193" si="70">SUM(X189:X192)</f>
        <v>76775</v>
      </c>
      <c r="Y193" s="775">
        <f t="shared" ca="1" si="70"/>
        <v>86856.38</v>
      </c>
      <c r="Z193" s="775">
        <f t="shared" si="70"/>
        <v>91490.233900000007</v>
      </c>
      <c r="AA193" s="775">
        <f t="shared" ca="1" si="70"/>
        <v>93890.330917000014</v>
      </c>
      <c r="AB193" s="775">
        <f t="shared" si="70"/>
        <v>96362.430844510003</v>
      </c>
    </row>
    <row r="195" spans="1:28">
      <c r="A195" s="37" t="s">
        <v>903</v>
      </c>
      <c r="B195" s="37" t="s">
        <v>904</v>
      </c>
      <c r="C195" s="761"/>
      <c r="D195" s="761"/>
      <c r="E195" s="37" t="s">
        <v>740</v>
      </c>
      <c r="F195" s="37"/>
      <c r="G195" s="761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980">
        <f>2292/3</f>
        <v>764</v>
      </c>
      <c r="U195" s="980">
        <v>1000</v>
      </c>
      <c r="V195" s="980">
        <v>58500</v>
      </c>
      <c r="W195" s="980">
        <v>58500</v>
      </c>
      <c r="X195" s="980">
        <v>61500</v>
      </c>
      <c r="Y195" s="979">
        <f>X195*1.03</f>
        <v>63345</v>
      </c>
      <c r="Z195" s="979">
        <f t="shared" ref="Z195:AB195" si="71">Y195*1.03</f>
        <v>65245.35</v>
      </c>
      <c r="AA195" s="979">
        <f t="shared" si="71"/>
        <v>67202.710500000001</v>
      </c>
      <c r="AB195" s="979">
        <f t="shared" si="71"/>
        <v>69218.791815000004</v>
      </c>
    </row>
    <row r="196" spans="1:28">
      <c r="A196" s="37" t="s">
        <v>905</v>
      </c>
      <c r="B196" s="37" t="s">
        <v>906</v>
      </c>
      <c r="C196" s="761"/>
      <c r="D196" s="761"/>
      <c r="E196" s="37" t="s">
        <v>768</v>
      </c>
      <c r="F196" s="37"/>
      <c r="G196" s="761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980">
        <f t="shared" ref="T196:T197" si="72">2292/3</f>
        <v>764</v>
      </c>
      <c r="U196" s="980">
        <v>1000</v>
      </c>
      <c r="V196" s="980">
        <v>1000</v>
      </c>
      <c r="W196" s="980">
        <v>21664</v>
      </c>
      <c r="X196" s="37"/>
      <c r="Y196" s="37"/>
      <c r="Z196" s="37"/>
      <c r="AA196" s="37"/>
      <c r="AB196" s="37"/>
    </row>
    <row r="197" spans="1:28">
      <c r="A197" s="37" t="s">
        <v>907</v>
      </c>
      <c r="B197" s="37" t="s">
        <v>908</v>
      </c>
      <c r="C197" s="761"/>
      <c r="D197" s="761"/>
      <c r="E197" s="37" t="s">
        <v>768</v>
      </c>
      <c r="F197" s="37"/>
      <c r="G197" s="761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980">
        <f t="shared" si="72"/>
        <v>764</v>
      </c>
      <c r="U197" s="980">
        <v>1000</v>
      </c>
      <c r="V197" s="980">
        <v>1000</v>
      </c>
      <c r="W197" s="980">
        <v>31850</v>
      </c>
      <c r="X197" s="37"/>
      <c r="Y197" s="37"/>
      <c r="Z197" s="37"/>
      <c r="AA197" s="37"/>
      <c r="AB197" s="37"/>
    </row>
    <row r="198" spans="1:28">
      <c r="A198" s="37" t="s">
        <v>909</v>
      </c>
      <c r="B198" s="37" t="s">
        <v>910</v>
      </c>
      <c r="C198" s="761"/>
      <c r="D198" s="761"/>
      <c r="E198" s="37" t="s">
        <v>768</v>
      </c>
      <c r="F198" s="37"/>
      <c r="G198" s="761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980">
        <v>0</v>
      </c>
      <c r="U198" s="980">
        <v>0</v>
      </c>
      <c r="V198" s="980">
        <v>0</v>
      </c>
      <c r="W198" s="980">
        <v>22662</v>
      </c>
      <c r="X198" s="37"/>
      <c r="Y198" s="37"/>
      <c r="Z198" s="37"/>
      <c r="AA198" s="37"/>
      <c r="AB198" s="37"/>
    </row>
    <row r="199" spans="1:28">
      <c r="A199" s="770" t="s">
        <v>892</v>
      </c>
      <c r="B199" s="770"/>
      <c r="C199" s="771"/>
      <c r="D199" s="771"/>
      <c r="E199" s="770"/>
      <c r="F199" s="770"/>
      <c r="G199" s="771"/>
      <c r="H199" s="770"/>
      <c r="I199" s="770"/>
      <c r="J199" s="770"/>
      <c r="K199" s="770"/>
      <c r="L199" s="770"/>
      <c r="M199" s="770"/>
      <c r="N199" s="770"/>
      <c r="O199" s="770"/>
      <c r="P199" s="770"/>
      <c r="Q199" s="774" t="e">
        <f>SUM(Q187:Q191)</f>
        <v>#REF!</v>
      </c>
      <c r="R199" s="774" t="e">
        <f>SUM(R187:R191)</f>
        <v>#REF!</v>
      </c>
      <c r="S199" s="774">
        <f>SUM(S187:S191)</f>
        <v>0</v>
      </c>
      <c r="T199" s="986">
        <f>SUM(T195:T197)</f>
        <v>2292</v>
      </c>
      <c r="U199" s="986">
        <f>SUM(U195:U197)</f>
        <v>3000</v>
      </c>
      <c r="V199" s="986">
        <f>SUM(V195:V197)</f>
        <v>60500</v>
      </c>
      <c r="W199" s="986">
        <f>SUM(W195:W198)</f>
        <v>134676</v>
      </c>
      <c r="X199" s="774">
        <f>SUM(X187:X191)</f>
        <v>76775</v>
      </c>
      <c r="Y199" s="774">
        <f ca="1">SUM(Y187:Y191)</f>
        <v>86856.38</v>
      </c>
      <c r="Z199" s="774">
        <f>SUM(Z187:Z191)</f>
        <v>91490.233900000007</v>
      </c>
      <c r="AA199" s="774">
        <f ca="1">SUM(AA187:AA191)</f>
        <v>93890.330917000014</v>
      </c>
      <c r="AB199" s="774">
        <f>SUM(AB187:AB191)</f>
        <v>96362.430844510003</v>
      </c>
    </row>
    <row r="201" spans="1:28">
      <c r="A201" s="758" t="s">
        <v>911</v>
      </c>
      <c r="B201" s="758"/>
      <c r="C201" s="759"/>
      <c r="D201" s="759"/>
      <c r="E201" s="758"/>
      <c r="F201" s="758"/>
      <c r="G201" s="759"/>
      <c r="H201" s="758"/>
      <c r="I201" s="758"/>
      <c r="J201" s="758"/>
      <c r="K201" s="758"/>
      <c r="L201" s="758"/>
      <c r="M201" s="758"/>
      <c r="N201" s="758"/>
      <c r="O201" s="758"/>
      <c r="P201" s="758"/>
      <c r="Q201" s="760"/>
      <c r="R201" s="760"/>
      <c r="S201" s="760"/>
      <c r="T201" s="760"/>
      <c r="U201" s="760"/>
      <c r="V201" s="760"/>
      <c r="W201" s="760"/>
      <c r="X201" s="760"/>
      <c r="Y201" s="760"/>
      <c r="Z201" s="760"/>
      <c r="AA201" s="760"/>
      <c r="AB201" s="760"/>
    </row>
    <row r="202" spans="1:28">
      <c r="A202" s="762"/>
      <c r="B202" s="762"/>
      <c r="C202" s="763"/>
      <c r="D202" s="763"/>
      <c r="E202" s="764" t="s">
        <v>724</v>
      </c>
      <c r="F202" s="764"/>
      <c r="G202" s="765"/>
      <c r="H202" s="764"/>
      <c r="I202" s="764"/>
      <c r="J202" s="764"/>
      <c r="K202" s="764"/>
      <c r="L202" s="764"/>
      <c r="M202" s="764"/>
      <c r="N202" s="764"/>
      <c r="O202" s="764"/>
      <c r="P202" s="764"/>
      <c r="Q202" s="775" t="e">
        <f>+#REF!+#REF!+#REF!</f>
        <v>#REF!</v>
      </c>
      <c r="R202" s="775" t="e">
        <f>+#REF!+#REF!+#REF!</f>
        <v>#REF!</v>
      </c>
      <c r="S202" s="775">
        <f>0</f>
        <v>0</v>
      </c>
      <c r="T202" s="775">
        <f ca="1">SUMIF(E195:E200, "Elected", T195:T198)</f>
        <v>0</v>
      </c>
      <c r="U202" s="775">
        <f ca="1">SUMIF(E195:E200, "Elected", U195:U198)</f>
        <v>0</v>
      </c>
      <c r="V202" s="775">
        <f ca="1">SUMIF(E195:E200, "Elected", V195:V198)</f>
        <v>0</v>
      </c>
      <c r="W202" s="775">
        <f ca="1">SUMIF(E195:E199, "Elected", W195:W198)</f>
        <v>0</v>
      </c>
      <c r="X202" s="775" t="e">
        <f>+#REF!+#REF!+#REF!</f>
        <v>#REF!</v>
      </c>
      <c r="Y202" s="775" t="e">
        <f>+#REF!+#REF!+#REF!</f>
        <v>#REF!</v>
      </c>
      <c r="Z202" s="775" t="e">
        <f>+#REF!+#REF!+#REF!</f>
        <v>#REF!</v>
      </c>
      <c r="AA202" s="775" t="e">
        <f>+#REF!+#REF!+#REF!</f>
        <v>#REF!</v>
      </c>
      <c r="AB202" s="775" t="e">
        <f>+#REF!+#REF!+#REF!</f>
        <v>#REF!</v>
      </c>
    </row>
    <row r="203" spans="1:28">
      <c r="A203" s="762"/>
      <c r="B203" s="762"/>
      <c r="C203" s="763"/>
      <c r="D203" s="763"/>
      <c r="E203" s="764" t="s">
        <v>740</v>
      </c>
      <c r="F203" s="764"/>
      <c r="G203" s="765"/>
      <c r="H203" s="764"/>
      <c r="I203" s="764"/>
      <c r="J203" s="764"/>
      <c r="K203" s="764"/>
      <c r="L203" s="764"/>
      <c r="M203" s="764"/>
      <c r="N203" s="764"/>
      <c r="O203" s="764"/>
      <c r="P203" s="764"/>
      <c r="Q203" s="775" t="e">
        <f>+#REF!</f>
        <v>#REF!</v>
      </c>
      <c r="R203" s="775" t="e">
        <f>+#REF!</f>
        <v>#REF!</v>
      </c>
      <c r="S203" s="775">
        <f>0</f>
        <v>0</v>
      </c>
      <c r="T203" s="775">
        <f>SUMIF(E180:E187, "Contract", T180:T187)</f>
        <v>0</v>
      </c>
      <c r="U203" s="775">
        <f>SUMIF(E180:E187, "Contract", U180:U187)</f>
        <v>0</v>
      </c>
      <c r="V203" s="775">
        <f>SUMIF(E180:E187, "Contract", V180:V187)</f>
        <v>0</v>
      </c>
      <c r="W203" s="775">
        <f ca="1">SUMIF(E195:E199, "Contract", W195:W198)</f>
        <v>58500</v>
      </c>
      <c r="X203" s="775" t="e">
        <f>+#REF!</f>
        <v>#REF!</v>
      </c>
      <c r="Y203" s="775" t="e">
        <f>+#REF!</f>
        <v>#REF!</v>
      </c>
      <c r="Z203" s="775" t="e">
        <f>+#REF!</f>
        <v>#REF!</v>
      </c>
      <c r="AA203" s="775" t="e">
        <f>+#REF!</f>
        <v>#REF!</v>
      </c>
      <c r="AB203" s="775" t="e">
        <f>+#REF!</f>
        <v>#REF!</v>
      </c>
    </row>
    <row r="204" spans="1:28">
      <c r="A204" s="762"/>
      <c r="B204" s="762"/>
      <c r="C204" s="763"/>
      <c r="D204" s="763"/>
      <c r="E204" s="764" t="s">
        <v>716</v>
      </c>
      <c r="F204" s="764"/>
      <c r="G204" s="765"/>
      <c r="H204" s="764"/>
      <c r="I204" s="764"/>
      <c r="J204" s="764"/>
      <c r="K204" s="764"/>
      <c r="L204" s="764"/>
      <c r="M204" s="764"/>
      <c r="N204" s="764"/>
      <c r="O204" s="764"/>
      <c r="P204" s="764"/>
      <c r="Q204" s="775" t="e">
        <f>+#REF!+#REF!</f>
        <v>#REF!</v>
      </c>
      <c r="R204" s="775" t="e">
        <f>+#REF!+#REF!</f>
        <v>#REF!</v>
      </c>
      <c r="S204" s="775">
        <f>0</f>
        <v>0</v>
      </c>
      <c r="T204" s="775">
        <f ca="1">SUMIF(E180:E187, "Exempt", T180:T193)</f>
        <v>34487</v>
      </c>
      <c r="U204" s="775">
        <f ca="1">SUMIF(E180:E187, "Exempt", U180:U193)</f>
        <v>34487</v>
      </c>
      <c r="V204" s="775">
        <f ca="1">SUMIF(E180:E187, "Exempt", V180:V193)</f>
        <v>40441</v>
      </c>
      <c r="W204" s="775">
        <f ca="1">SUMIF(E195:E199, "Exempt", W195:W198)</f>
        <v>0</v>
      </c>
      <c r="X204" s="775" t="e">
        <f>+#REF!+#REF!</f>
        <v>#REF!</v>
      </c>
      <c r="Y204" s="775" t="e">
        <f>+#REF!+#REF!</f>
        <v>#REF!</v>
      </c>
      <c r="Z204" s="775" t="e">
        <f>+#REF!+#REF!</f>
        <v>#REF!</v>
      </c>
      <c r="AA204" s="775" t="e">
        <f>+#REF!+#REF!</f>
        <v>#REF!</v>
      </c>
      <c r="AB204" s="775" t="e">
        <f>+#REF!+#REF!</f>
        <v>#REF!</v>
      </c>
    </row>
    <row r="205" spans="1:28">
      <c r="A205" s="762"/>
      <c r="B205" s="762"/>
      <c r="C205" s="763"/>
      <c r="D205" s="763"/>
      <c r="E205" s="764" t="s">
        <v>768</v>
      </c>
      <c r="F205" s="764"/>
      <c r="G205" s="765"/>
      <c r="H205" s="764"/>
      <c r="I205" s="764"/>
      <c r="J205" s="764"/>
      <c r="K205" s="764"/>
      <c r="L205" s="764"/>
      <c r="M205" s="764"/>
      <c r="N205" s="764"/>
      <c r="O205" s="764"/>
      <c r="P205" s="764"/>
      <c r="Q205" s="775" t="e">
        <f>+#REF!</f>
        <v>#REF!</v>
      </c>
      <c r="R205" s="775" t="e">
        <f>+#REF!</f>
        <v>#REF!</v>
      </c>
      <c r="S205" s="775">
        <f>0</f>
        <v>0</v>
      </c>
      <c r="T205" s="775">
        <f ca="1">SUMIF(E180:E187, "Union", T180:T193)</f>
        <v>0</v>
      </c>
      <c r="U205" s="775">
        <f ca="1">SUMIF(E180:E187, "Union", U180:U193)</f>
        <v>0</v>
      </c>
      <c r="V205" s="775">
        <f ca="1">SUMIF(E180:E187, "Union", V180:V193)</f>
        <v>0</v>
      </c>
      <c r="W205" s="775">
        <f ca="1">SUMIF(E195:E199, "Union", W195:W198)</f>
        <v>76176</v>
      </c>
      <c r="X205" s="775" t="e">
        <f>+#REF!</f>
        <v>#REF!</v>
      </c>
      <c r="Y205" s="775" t="e">
        <f>+#REF!</f>
        <v>#REF!</v>
      </c>
      <c r="Z205" s="775" t="e">
        <f>+#REF!</f>
        <v>#REF!</v>
      </c>
      <c r="AA205" s="775" t="e">
        <f>+#REF!</f>
        <v>#REF!</v>
      </c>
      <c r="AB205" s="775" t="e">
        <f>+#REF!</f>
        <v>#REF!</v>
      </c>
    </row>
    <row r="206" spans="1:28">
      <c r="A206" s="762"/>
      <c r="B206" s="762"/>
      <c r="C206" s="763"/>
      <c r="D206" s="763"/>
      <c r="E206" s="764" t="s">
        <v>291</v>
      </c>
      <c r="F206" s="764"/>
      <c r="G206" s="765"/>
      <c r="H206" s="764"/>
      <c r="I206" s="764"/>
      <c r="J206" s="764"/>
      <c r="K206" s="764"/>
      <c r="L206" s="764"/>
      <c r="M206" s="764"/>
      <c r="N206" s="764"/>
      <c r="O206" s="764"/>
      <c r="P206" s="764"/>
      <c r="Q206" s="775" t="e">
        <f>+#REF!</f>
        <v>#REF!</v>
      </c>
      <c r="R206" s="775" t="e">
        <f>+#REF!</f>
        <v>#REF!</v>
      </c>
      <c r="S206" s="775">
        <f>0</f>
        <v>0</v>
      </c>
      <c r="T206" s="775">
        <f t="shared" ref="T206:V206" ca="1" si="73">SUM(T202:T205)</f>
        <v>34487</v>
      </c>
      <c r="U206" s="775">
        <f t="shared" ca="1" si="73"/>
        <v>34487</v>
      </c>
      <c r="V206" s="775">
        <f t="shared" ca="1" si="73"/>
        <v>40441</v>
      </c>
      <c r="W206" s="775">
        <f ca="1">SUM(W202:W205)</f>
        <v>134676</v>
      </c>
      <c r="X206" s="775" t="e">
        <f>+#REF!</f>
        <v>#REF!</v>
      </c>
      <c r="Y206" s="775" t="e">
        <f>+#REF!</f>
        <v>#REF!</v>
      </c>
      <c r="Z206" s="775" t="e">
        <f>+#REF!</f>
        <v>#REF!</v>
      </c>
      <c r="AA206" s="775" t="e">
        <f>+#REF!</f>
        <v>#REF!</v>
      </c>
      <c r="AB206" s="775" t="e">
        <f>+#REF!</f>
        <v>#REF!</v>
      </c>
    </row>
  </sheetData>
  <phoneticPr fontId="40" type="noConversion"/>
  <pageMargins left="0.25" right="0.25" top="0.5" bottom="0.5" header="0.3" footer="0.3"/>
  <pageSetup scale="93" orientation="landscape" r:id="rId1"/>
  <headerFooter>
    <oddFooter>&amp;L&amp;9&amp;A&amp;C&amp;10page &amp;P of &amp;N&amp;R&amp;9&amp;D</oddFooter>
  </headerFooter>
  <colBreaks count="1" manualBreakCount="1">
    <brk id="26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FF00FF"/>
  </sheetPr>
  <dimension ref="A1:AF63"/>
  <sheetViews>
    <sheetView showGridLines="0" zoomScaleNormal="100" zoomScaleSheetLayoutView="100" workbookViewId="0">
      <pane xSplit="2" ySplit="6" topLeftCell="T22" activePane="bottomRight" state="frozen"/>
      <selection pane="bottomRight" activeCell="W8" sqref="W8"/>
      <selection pane="bottomLeft" activeCell="A7" sqref="A7"/>
      <selection pane="topRight" activeCell="C1" sqref="C1"/>
    </sheetView>
  </sheetViews>
  <sheetFormatPr defaultColWidth="8.75" defaultRowHeight="12"/>
  <cols>
    <col min="1" max="1" width="2.5" style="4" customWidth="1"/>
    <col min="2" max="2" width="36.25" style="4" customWidth="1"/>
    <col min="3" max="13" width="8.75" style="4" hidden="1" customWidth="1"/>
    <col min="14" max="14" width="9.5" style="4" hidden="1" customWidth="1"/>
    <col min="15" max="15" width="6" style="4" hidden="1" customWidth="1"/>
    <col min="16" max="19" width="9.5" style="4" hidden="1" customWidth="1"/>
    <col min="20" max="21" width="9.5" style="4" customWidth="1"/>
    <col min="22" max="22" width="9.375" style="21" bestFit="1" customWidth="1"/>
    <col min="23" max="26" width="9.375" style="21" customWidth="1"/>
    <col min="27" max="28" width="6.25" style="4" customWidth="1"/>
    <col min="29" max="29" width="60.625" style="4" bestFit="1" customWidth="1"/>
    <col min="30" max="16384" width="8.75" style="4"/>
  </cols>
  <sheetData>
    <row r="1" spans="1:29">
      <c r="A1" s="25" t="str">
        <f>Summary!B1</f>
        <v>Municipality of Berkley</v>
      </c>
    </row>
    <row r="2" spans="1:29">
      <c r="A2" s="248" t="s">
        <v>912</v>
      </c>
    </row>
    <row r="3" spans="1:29"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N3" s="254"/>
      <c r="O3" s="254"/>
      <c r="P3" s="254"/>
      <c r="Q3" s="99" t="s">
        <v>96</v>
      </c>
      <c r="R3" s="99" t="s">
        <v>97</v>
      </c>
      <c r="S3" s="99" t="s">
        <v>98</v>
      </c>
      <c r="T3" s="99" t="s">
        <v>99</v>
      </c>
      <c r="U3" s="99" t="s">
        <v>100</v>
      </c>
      <c r="V3" s="99" t="s">
        <v>101</v>
      </c>
      <c r="W3" s="99" t="s">
        <v>102</v>
      </c>
      <c r="X3" s="99" t="s">
        <v>103</v>
      </c>
      <c r="Y3" s="99" t="s">
        <v>104</v>
      </c>
      <c r="Z3" s="99" t="s">
        <v>105</v>
      </c>
      <c r="AA3" s="99" t="s">
        <v>106</v>
      </c>
      <c r="AB3" s="99" t="s">
        <v>107</v>
      </c>
    </row>
    <row r="4" spans="1:29">
      <c r="B4" s="249"/>
      <c r="C4" s="250"/>
      <c r="D4" s="250"/>
      <c r="E4" s="250"/>
      <c r="F4" s="250"/>
      <c r="G4" s="250"/>
      <c r="H4" s="250"/>
      <c r="I4" s="250"/>
      <c r="J4" s="250"/>
      <c r="K4" s="250"/>
      <c r="L4" s="250"/>
      <c r="N4" s="254"/>
      <c r="O4" s="254"/>
      <c r="P4" s="254"/>
      <c r="Q4" s="254" t="s">
        <v>158</v>
      </c>
      <c r="R4" s="254" t="s">
        <v>158</v>
      </c>
      <c r="S4" s="254" t="s">
        <v>158</v>
      </c>
      <c r="T4" s="254" t="s">
        <v>158</v>
      </c>
      <c r="U4" s="254" t="s">
        <v>158</v>
      </c>
      <c r="V4" s="99" t="s">
        <v>158</v>
      </c>
      <c r="W4" s="99" t="s">
        <v>158</v>
      </c>
      <c r="X4" s="99" t="s">
        <v>159</v>
      </c>
      <c r="Y4" s="99" t="s">
        <v>159</v>
      </c>
      <c r="Z4" s="99" t="s">
        <v>159</v>
      </c>
      <c r="AA4" s="99" t="s">
        <v>159</v>
      </c>
      <c r="AB4" s="99" t="s">
        <v>159</v>
      </c>
    </row>
    <row r="5" spans="1:29">
      <c r="A5" s="112"/>
      <c r="V5" s="4"/>
      <c r="W5" s="4"/>
      <c r="X5" s="4"/>
      <c r="Y5" s="4"/>
      <c r="Z5" s="4"/>
    </row>
    <row r="6" spans="1:29">
      <c r="B6" s="3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18"/>
      <c r="R6" s="18"/>
      <c r="S6" s="18"/>
      <c r="T6" s="18"/>
      <c r="U6" s="482">
        <v>0.02</v>
      </c>
      <c r="V6" s="482">
        <v>0.02</v>
      </c>
      <c r="W6" s="482">
        <v>0.02</v>
      </c>
      <c r="X6" s="482">
        <v>0.02</v>
      </c>
      <c r="Y6" s="482">
        <v>0.02</v>
      </c>
      <c r="Z6" s="482">
        <v>0.02</v>
      </c>
      <c r="AA6" s="482">
        <v>0.02</v>
      </c>
      <c r="AB6" s="482">
        <v>0.02</v>
      </c>
    </row>
    <row r="7" spans="1:29">
      <c r="B7" s="11" t="s">
        <v>913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AA7" s="21"/>
      <c r="AB7" s="21"/>
      <c r="AC7" s="4" t="s">
        <v>914</v>
      </c>
    </row>
    <row r="8" spans="1:29">
      <c r="B8" s="37" t="s">
        <v>119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>
        <v>0</v>
      </c>
      <c r="R8" s="168">
        <f t="shared" ref="R8:AB8" si="0">Q8</f>
        <v>0</v>
      </c>
      <c r="S8" s="168">
        <f t="shared" si="0"/>
        <v>0</v>
      </c>
      <c r="T8" s="168">
        <f t="shared" si="0"/>
        <v>0</v>
      </c>
      <c r="U8" s="168">
        <f t="shared" si="0"/>
        <v>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4" t="s">
        <v>915</v>
      </c>
    </row>
    <row r="9" spans="1:29">
      <c r="B9" s="37" t="s">
        <v>120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>
        <v>0</v>
      </c>
      <c r="R9" s="168">
        <f t="shared" ref="R9:AB9" si="1">Q9</f>
        <v>0</v>
      </c>
      <c r="S9" s="168">
        <f t="shared" si="1"/>
        <v>0</v>
      </c>
      <c r="T9" s="168">
        <f t="shared" si="1"/>
        <v>0</v>
      </c>
      <c r="U9" s="168">
        <f t="shared" si="1"/>
        <v>0</v>
      </c>
      <c r="V9" s="168">
        <f t="shared" si="1"/>
        <v>0</v>
      </c>
      <c r="W9" s="168">
        <f t="shared" si="1"/>
        <v>0</v>
      </c>
      <c r="X9" s="168">
        <f t="shared" si="1"/>
        <v>0</v>
      </c>
      <c r="Y9" s="168">
        <f t="shared" si="1"/>
        <v>0</v>
      </c>
      <c r="Z9" s="168">
        <f t="shared" si="1"/>
        <v>0</v>
      </c>
      <c r="AA9" s="168">
        <f t="shared" si="1"/>
        <v>0</v>
      </c>
      <c r="AB9" s="168">
        <f t="shared" si="1"/>
        <v>0</v>
      </c>
    </row>
    <row r="10" spans="1:29">
      <c r="B10" s="855" t="s">
        <v>121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>
        <v>0</v>
      </c>
      <c r="R10" s="168">
        <f t="shared" ref="R10:AB12" si="2">Q10</f>
        <v>0</v>
      </c>
      <c r="S10" s="168">
        <f t="shared" si="2"/>
        <v>0</v>
      </c>
      <c r="T10" s="168">
        <f t="shared" si="2"/>
        <v>0</v>
      </c>
      <c r="U10" s="168">
        <f t="shared" si="2"/>
        <v>0</v>
      </c>
      <c r="V10" s="168">
        <f t="shared" si="2"/>
        <v>0</v>
      </c>
      <c r="W10" s="168">
        <f t="shared" si="2"/>
        <v>0</v>
      </c>
      <c r="X10" s="168">
        <f t="shared" si="2"/>
        <v>0</v>
      </c>
      <c r="Y10" s="168">
        <f t="shared" si="2"/>
        <v>0</v>
      </c>
      <c r="Z10" s="168">
        <f t="shared" si="2"/>
        <v>0</v>
      </c>
      <c r="AA10" s="168">
        <f t="shared" si="2"/>
        <v>0</v>
      </c>
      <c r="AB10" s="168">
        <f t="shared" si="2"/>
        <v>0</v>
      </c>
      <c r="AC10" s="255" t="s">
        <v>916</v>
      </c>
    </row>
    <row r="11" spans="1:29">
      <c r="B11" s="37" t="s">
        <v>917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>
        <v>0</v>
      </c>
      <c r="R11" s="168">
        <f t="shared" si="2"/>
        <v>0</v>
      </c>
      <c r="S11" s="168">
        <f t="shared" si="2"/>
        <v>0</v>
      </c>
      <c r="T11" s="168">
        <f t="shared" si="2"/>
        <v>0</v>
      </c>
      <c r="U11" s="168">
        <f t="shared" si="2"/>
        <v>0</v>
      </c>
      <c r="V11" s="168">
        <f t="shared" si="2"/>
        <v>0</v>
      </c>
      <c r="W11" s="168">
        <f t="shared" si="2"/>
        <v>0</v>
      </c>
      <c r="X11" s="168">
        <f t="shared" si="2"/>
        <v>0</v>
      </c>
      <c r="Y11" s="168">
        <f t="shared" si="2"/>
        <v>0</v>
      </c>
      <c r="Z11" s="168">
        <f t="shared" si="2"/>
        <v>0</v>
      </c>
      <c r="AA11" s="168">
        <f t="shared" si="2"/>
        <v>0</v>
      </c>
      <c r="AB11" s="168">
        <f t="shared" si="2"/>
        <v>0</v>
      </c>
      <c r="AC11" s="255"/>
    </row>
    <row r="12" spans="1:29">
      <c r="B12" s="37" t="s">
        <v>918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>
        <v>0</v>
      </c>
      <c r="R12" s="168">
        <f t="shared" si="2"/>
        <v>0</v>
      </c>
      <c r="S12" s="168">
        <f t="shared" si="2"/>
        <v>0</v>
      </c>
      <c r="T12" s="168">
        <f t="shared" si="2"/>
        <v>0</v>
      </c>
      <c r="U12" s="168">
        <f t="shared" si="2"/>
        <v>0</v>
      </c>
      <c r="V12" s="168">
        <f t="shared" si="2"/>
        <v>0</v>
      </c>
      <c r="W12" s="168">
        <f t="shared" si="2"/>
        <v>0</v>
      </c>
      <c r="X12" s="168">
        <f t="shared" si="2"/>
        <v>0</v>
      </c>
      <c r="Y12" s="168">
        <f t="shared" si="2"/>
        <v>0</v>
      </c>
      <c r="Z12" s="168">
        <f t="shared" si="2"/>
        <v>0</v>
      </c>
      <c r="AA12" s="168">
        <f t="shared" si="2"/>
        <v>0</v>
      </c>
      <c r="AB12" s="168">
        <f t="shared" si="2"/>
        <v>0</v>
      </c>
      <c r="AC12" s="255"/>
    </row>
    <row r="13" spans="1:29">
      <c r="B13" s="37" t="s">
        <v>206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>
        <v>0</v>
      </c>
      <c r="R13" s="168">
        <f t="shared" ref="R13" si="3">Q13</f>
        <v>0</v>
      </c>
      <c r="S13" s="168">
        <f t="shared" ref="S13" si="4">R13</f>
        <v>0</v>
      </c>
      <c r="T13" s="168">
        <f t="shared" ref="T13" si="5">S13</f>
        <v>0</v>
      </c>
      <c r="U13" s="168">
        <f t="shared" ref="U13" si="6">T13</f>
        <v>0</v>
      </c>
      <c r="V13" s="168">
        <f t="shared" ref="V13:AB13" si="7">U13</f>
        <v>0</v>
      </c>
      <c r="W13" s="168">
        <f t="shared" si="7"/>
        <v>0</v>
      </c>
      <c r="X13" s="168">
        <f t="shared" si="7"/>
        <v>0</v>
      </c>
      <c r="Y13" s="168">
        <f t="shared" si="7"/>
        <v>0</v>
      </c>
      <c r="Z13" s="168">
        <f t="shared" si="7"/>
        <v>0</v>
      </c>
      <c r="AA13" s="168">
        <f t="shared" si="7"/>
        <v>0</v>
      </c>
      <c r="AB13" s="168">
        <f t="shared" si="7"/>
        <v>0</v>
      </c>
      <c r="AC13" s="187"/>
    </row>
    <row r="14" spans="1:29">
      <c r="B14" s="766" t="s">
        <v>919</v>
      </c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>
        <f t="shared" ref="Q14:V14" si="8">SUM(Q8:Q13)</f>
        <v>0</v>
      </c>
      <c r="R14" s="329">
        <f t="shared" si="8"/>
        <v>0</v>
      </c>
      <c r="S14" s="329">
        <f t="shared" si="8"/>
        <v>0</v>
      </c>
      <c r="T14" s="329">
        <f t="shared" si="8"/>
        <v>0</v>
      </c>
      <c r="U14" s="329">
        <f t="shared" si="8"/>
        <v>0</v>
      </c>
      <c r="V14" s="329">
        <f t="shared" si="8"/>
        <v>0</v>
      </c>
      <c r="W14" s="329">
        <f t="shared" ref="W14:X14" si="9">SUM(W8:W13)</f>
        <v>0</v>
      </c>
      <c r="X14" s="329">
        <f t="shared" si="9"/>
        <v>0</v>
      </c>
      <c r="Y14" s="329">
        <f t="shared" ref="Y14:Z14" si="10">SUM(Y8:Y13)</f>
        <v>0</v>
      </c>
      <c r="Z14" s="329">
        <f t="shared" si="10"/>
        <v>0</v>
      </c>
      <c r="AA14" s="329">
        <f t="shared" ref="AA14:AB14" si="11">SUM(AA8:AA13)</f>
        <v>0</v>
      </c>
      <c r="AB14" s="329">
        <f t="shared" si="11"/>
        <v>0</v>
      </c>
      <c r="AC14" s="187"/>
    </row>
    <row r="15" spans="1:29">
      <c r="B15" s="15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</row>
    <row r="16" spans="1:29">
      <c r="B16" s="264" t="s">
        <v>920</v>
      </c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708"/>
      <c r="P16" s="708"/>
      <c r="Q16" s="708">
        <f>ROUND((Q14+P16)*Q$6+P16,0)</f>
        <v>0</v>
      </c>
      <c r="R16" s="708">
        <f t="shared" ref="R16:AB16" si="12">ROUND((R14+Q16)*R$6+Q16,0)</f>
        <v>0</v>
      </c>
      <c r="S16" s="708">
        <f t="shared" si="12"/>
        <v>0</v>
      </c>
      <c r="T16" s="708">
        <f t="shared" si="12"/>
        <v>0</v>
      </c>
      <c r="U16" s="708">
        <f t="shared" si="12"/>
        <v>0</v>
      </c>
      <c r="V16" s="708">
        <f t="shared" si="12"/>
        <v>0</v>
      </c>
      <c r="W16" s="708">
        <f t="shared" si="12"/>
        <v>0</v>
      </c>
      <c r="X16" s="708">
        <f t="shared" si="12"/>
        <v>0</v>
      </c>
      <c r="Y16" s="708">
        <f t="shared" si="12"/>
        <v>0</v>
      </c>
      <c r="Z16" s="708">
        <f t="shared" si="12"/>
        <v>0</v>
      </c>
      <c r="AA16" s="708">
        <f t="shared" si="12"/>
        <v>0</v>
      </c>
      <c r="AB16" s="708">
        <f t="shared" si="12"/>
        <v>0</v>
      </c>
    </row>
    <row r="17" spans="2:32">
      <c r="B17" s="2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2:32">
      <c r="B18" s="11" t="s">
        <v>921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2:32">
      <c r="B19" s="37" t="s">
        <v>922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168">
        <v>0</v>
      </c>
      <c r="Z19" s="168">
        <v>0</v>
      </c>
      <c r="AA19" s="168">
        <v>0</v>
      </c>
      <c r="AB19" s="168">
        <v>1</v>
      </c>
    </row>
    <row r="20" spans="2:32">
      <c r="B20" s="252" t="s">
        <v>923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68">
        <v>0</v>
      </c>
      <c r="Z20" s="168">
        <v>0</v>
      </c>
      <c r="AA20" s="168">
        <v>0</v>
      </c>
      <c r="AB20" s="168">
        <v>1</v>
      </c>
    </row>
    <row r="21" spans="2:32">
      <c r="B21" s="252" t="s">
        <v>924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168">
        <v>0</v>
      </c>
      <c r="AA21" s="168">
        <v>0</v>
      </c>
      <c r="AB21" s="168">
        <v>1</v>
      </c>
    </row>
    <row r="22" spans="2:32">
      <c r="B22" s="3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168">
        <v>0</v>
      </c>
      <c r="AA22" s="168">
        <v>0</v>
      </c>
      <c r="AB22" s="168">
        <v>1</v>
      </c>
    </row>
    <row r="26" spans="2:32">
      <c r="B26" s="767" t="s">
        <v>925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>
        <f t="shared" ref="Q26:AB26" si="13">SUM(Q19:Q22)</f>
        <v>0</v>
      </c>
      <c r="R26" s="329">
        <f t="shared" si="13"/>
        <v>0</v>
      </c>
      <c r="S26" s="329">
        <f t="shared" si="13"/>
        <v>0</v>
      </c>
      <c r="T26" s="329">
        <f t="shared" si="13"/>
        <v>0</v>
      </c>
      <c r="U26" s="329">
        <f t="shared" si="13"/>
        <v>0</v>
      </c>
      <c r="V26" s="329">
        <f t="shared" si="13"/>
        <v>0</v>
      </c>
      <c r="W26" s="329">
        <f t="shared" si="13"/>
        <v>0</v>
      </c>
      <c r="X26" s="329">
        <f t="shared" si="13"/>
        <v>0</v>
      </c>
      <c r="Y26" s="329">
        <f t="shared" si="13"/>
        <v>0</v>
      </c>
      <c r="Z26" s="329">
        <f t="shared" si="13"/>
        <v>0</v>
      </c>
      <c r="AA26" s="329">
        <f t="shared" si="13"/>
        <v>0</v>
      </c>
      <c r="AB26" s="329">
        <f t="shared" si="13"/>
        <v>4</v>
      </c>
    </row>
    <row r="27" spans="2:32">
      <c r="B27" s="1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2">
      <c r="B28" s="264" t="s">
        <v>920</v>
      </c>
      <c r="C28" s="709"/>
      <c r="D28" s="709"/>
      <c r="E28" s="709"/>
      <c r="F28" s="709"/>
      <c r="G28" s="709"/>
      <c r="H28" s="709"/>
      <c r="I28" s="709"/>
      <c r="J28" s="709"/>
      <c r="K28" s="709"/>
      <c r="L28" s="709"/>
      <c r="M28" s="709"/>
      <c r="N28" s="709"/>
      <c r="O28" s="709"/>
      <c r="P28" s="709"/>
      <c r="Q28" s="709">
        <f t="shared" ref="Q28:AB28" si="14">ROUND((Q26+P28)*Q$6+P28,0)</f>
        <v>0</v>
      </c>
      <c r="R28" s="709">
        <f t="shared" si="14"/>
        <v>0</v>
      </c>
      <c r="S28" s="709">
        <f t="shared" si="14"/>
        <v>0</v>
      </c>
      <c r="T28" s="709">
        <f t="shared" si="14"/>
        <v>0</v>
      </c>
      <c r="U28" s="709">
        <f t="shared" si="14"/>
        <v>0</v>
      </c>
      <c r="V28" s="709">
        <f t="shared" si="14"/>
        <v>0</v>
      </c>
      <c r="W28" s="709">
        <f t="shared" si="14"/>
        <v>0</v>
      </c>
      <c r="X28" s="709">
        <f t="shared" si="14"/>
        <v>0</v>
      </c>
      <c r="Y28" s="709">
        <f t="shared" si="14"/>
        <v>0</v>
      </c>
      <c r="Z28" s="709">
        <f t="shared" si="14"/>
        <v>0</v>
      </c>
      <c r="AA28" s="709">
        <f t="shared" si="14"/>
        <v>0</v>
      </c>
      <c r="AB28" s="709">
        <f t="shared" si="14"/>
        <v>0</v>
      </c>
    </row>
    <row r="29" spans="2:32">
      <c r="B29" s="15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</row>
    <row r="30" spans="2:32">
      <c r="B30" s="3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18"/>
      <c r="R30" s="18"/>
      <c r="S30" s="18"/>
      <c r="T30" s="18"/>
      <c r="U30" s="482">
        <v>0.02</v>
      </c>
      <c r="V30" s="482">
        <v>0.02</v>
      </c>
      <c r="W30" s="482">
        <v>0.02</v>
      </c>
      <c r="X30" s="482">
        <v>0.02</v>
      </c>
      <c r="Y30" s="482">
        <v>0.02</v>
      </c>
      <c r="Z30" s="482">
        <v>0.02</v>
      </c>
      <c r="AA30" s="482">
        <v>1.02</v>
      </c>
      <c r="AB30" s="482">
        <v>2.02</v>
      </c>
    </row>
    <row r="31" spans="2:32">
      <c r="B31" s="11" t="s">
        <v>926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D31" s="106"/>
      <c r="AE31" s="106"/>
      <c r="AF31" s="106"/>
    </row>
    <row r="32" spans="2:32">
      <c r="B32" s="252" t="s">
        <v>927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>
        <v>0</v>
      </c>
      <c r="R32" s="168">
        <f t="shared" ref="R32:R35" si="15">Q32</f>
        <v>0</v>
      </c>
      <c r="S32" s="168">
        <f t="shared" ref="S32:S35" si="16">R32</f>
        <v>0</v>
      </c>
      <c r="T32" s="168">
        <f t="shared" ref="T32:T35" si="17">S32</f>
        <v>0</v>
      </c>
      <c r="U32" s="168">
        <f t="shared" ref="U32:U35" si="18">T32</f>
        <v>0</v>
      </c>
      <c r="V32" s="168">
        <f t="shared" ref="V32:AB35" si="19">U32</f>
        <v>0</v>
      </c>
      <c r="W32" s="168">
        <f t="shared" si="19"/>
        <v>0</v>
      </c>
      <c r="X32" s="168">
        <f t="shared" si="19"/>
        <v>0</v>
      </c>
      <c r="Y32" s="168">
        <f t="shared" si="19"/>
        <v>0</v>
      </c>
      <c r="Z32" s="168">
        <f t="shared" si="19"/>
        <v>0</v>
      </c>
      <c r="AA32" s="168">
        <f t="shared" si="19"/>
        <v>0</v>
      </c>
      <c r="AB32" s="168">
        <f t="shared" si="19"/>
        <v>0</v>
      </c>
      <c r="AD32" s="187"/>
      <c r="AE32" s="187"/>
      <c r="AF32" s="187"/>
    </row>
    <row r="33" spans="1:32">
      <c r="B33" s="252" t="s">
        <v>928</v>
      </c>
      <c r="C33" s="707"/>
      <c r="D33" s="707"/>
      <c r="E33" s="707"/>
      <c r="F33" s="707"/>
      <c r="G33" s="707"/>
      <c r="H33" s="707"/>
      <c r="I33" s="707"/>
      <c r="J33" s="707"/>
      <c r="K33" s="707"/>
      <c r="L33" s="707"/>
      <c r="M33" s="707"/>
      <c r="N33" s="707"/>
      <c r="O33" s="707"/>
      <c r="P33" s="707"/>
      <c r="Q33" s="168">
        <v>0</v>
      </c>
      <c r="R33" s="168">
        <f t="shared" si="15"/>
        <v>0</v>
      </c>
      <c r="S33" s="168">
        <f t="shared" si="16"/>
        <v>0</v>
      </c>
      <c r="T33" s="168">
        <f t="shared" si="17"/>
        <v>0</v>
      </c>
      <c r="U33" s="168">
        <f t="shared" si="18"/>
        <v>0</v>
      </c>
      <c r="V33" s="168">
        <f t="shared" si="19"/>
        <v>0</v>
      </c>
      <c r="W33" s="168">
        <f t="shared" si="19"/>
        <v>0</v>
      </c>
      <c r="X33" s="168">
        <f t="shared" si="19"/>
        <v>0</v>
      </c>
      <c r="Y33" s="168">
        <f t="shared" si="19"/>
        <v>0</v>
      </c>
      <c r="Z33" s="168">
        <f t="shared" si="19"/>
        <v>0</v>
      </c>
      <c r="AA33" s="168">
        <f t="shared" si="19"/>
        <v>0</v>
      </c>
      <c r="AB33" s="168">
        <f t="shared" si="19"/>
        <v>0</v>
      </c>
      <c r="AD33" s="187"/>
      <c r="AE33" s="187"/>
      <c r="AF33" s="187"/>
    </row>
    <row r="34" spans="1:32">
      <c r="B34" s="37" t="s">
        <v>929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>
        <v>0</v>
      </c>
      <c r="R34" s="168">
        <f t="shared" si="15"/>
        <v>0</v>
      </c>
      <c r="S34" s="168">
        <f t="shared" si="16"/>
        <v>0</v>
      </c>
      <c r="T34" s="168">
        <f t="shared" si="17"/>
        <v>0</v>
      </c>
      <c r="U34" s="168">
        <f t="shared" si="18"/>
        <v>0</v>
      </c>
      <c r="V34" s="168">
        <f t="shared" si="19"/>
        <v>0</v>
      </c>
      <c r="W34" s="168">
        <f t="shared" si="19"/>
        <v>0</v>
      </c>
      <c r="X34" s="168">
        <f t="shared" si="19"/>
        <v>0</v>
      </c>
      <c r="Y34" s="168">
        <f t="shared" si="19"/>
        <v>0</v>
      </c>
      <c r="Z34" s="168">
        <f t="shared" si="19"/>
        <v>0</v>
      </c>
      <c r="AA34" s="168">
        <f t="shared" si="19"/>
        <v>0</v>
      </c>
      <c r="AB34" s="168">
        <f t="shared" si="19"/>
        <v>0</v>
      </c>
      <c r="AD34" s="187"/>
      <c r="AE34" s="187"/>
      <c r="AF34" s="187"/>
    </row>
    <row r="35" spans="1:32">
      <c r="B35" s="252" t="s">
        <v>930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>
        <v>0</v>
      </c>
      <c r="R35" s="168">
        <f t="shared" si="15"/>
        <v>0</v>
      </c>
      <c r="S35" s="168">
        <f t="shared" si="16"/>
        <v>0</v>
      </c>
      <c r="T35" s="168">
        <f t="shared" si="17"/>
        <v>0</v>
      </c>
      <c r="U35" s="168">
        <f t="shared" si="18"/>
        <v>0</v>
      </c>
      <c r="V35" s="168">
        <f t="shared" si="19"/>
        <v>0</v>
      </c>
      <c r="W35" s="168">
        <f t="shared" si="19"/>
        <v>0</v>
      </c>
      <c r="X35" s="168">
        <f t="shared" si="19"/>
        <v>0</v>
      </c>
      <c r="Y35" s="168">
        <f t="shared" si="19"/>
        <v>0</v>
      </c>
      <c r="Z35" s="168">
        <f t="shared" si="19"/>
        <v>0</v>
      </c>
      <c r="AA35" s="168">
        <f t="shared" si="19"/>
        <v>0</v>
      </c>
      <c r="AB35" s="168">
        <f t="shared" si="19"/>
        <v>0</v>
      </c>
      <c r="AD35" s="187"/>
      <c r="AE35" s="187"/>
      <c r="AF35" s="187"/>
    </row>
    <row r="36" spans="1:32" s="32" customFormat="1">
      <c r="A36" s="25"/>
      <c r="B36" s="252" t="s">
        <v>931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>
        <v>0</v>
      </c>
      <c r="R36" s="168">
        <f t="shared" ref="R36" si="20">Q36</f>
        <v>0</v>
      </c>
      <c r="S36" s="168">
        <f t="shared" ref="S36" si="21">R36</f>
        <v>0</v>
      </c>
      <c r="T36" s="168">
        <f t="shared" ref="T36" si="22">S36</f>
        <v>0</v>
      </c>
      <c r="U36" s="168">
        <f t="shared" ref="U36" si="23">T36</f>
        <v>0</v>
      </c>
      <c r="V36" s="168">
        <f t="shared" ref="V36" si="24">U36</f>
        <v>0</v>
      </c>
      <c r="W36" s="168">
        <f t="shared" ref="W36" si="25">V36</f>
        <v>0</v>
      </c>
      <c r="X36" s="168">
        <f t="shared" ref="X36" si="26">W36</f>
        <v>0</v>
      </c>
      <c r="Y36" s="168">
        <f t="shared" ref="Y36" si="27">X36</f>
        <v>0</v>
      </c>
      <c r="Z36" s="168">
        <f t="shared" ref="Z36" si="28">Y36</f>
        <v>0</v>
      </c>
      <c r="AA36" s="168">
        <f t="shared" ref="AA36" si="29">Z36</f>
        <v>0</v>
      </c>
      <c r="AB36" s="168">
        <f t="shared" ref="AB36" si="30">AA36</f>
        <v>0</v>
      </c>
      <c r="AC36" s="4"/>
      <c r="AD36" s="373"/>
      <c r="AE36" s="373"/>
      <c r="AF36" s="373"/>
    </row>
    <row r="37" spans="1:32" s="32" customFormat="1">
      <c r="A37" s="248" t="s">
        <v>206</v>
      </c>
      <c r="B37" s="767" t="s">
        <v>932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>
        <f t="shared" ref="Q37:AB37" si="31">SUM(Q32:Q35)</f>
        <v>0</v>
      </c>
      <c r="R37" s="329">
        <f t="shared" si="31"/>
        <v>0</v>
      </c>
      <c r="S37" s="329">
        <f t="shared" si="31"/>
        <v>0</v>
      </c>
      <c r="T37" s="329">
        <f t="shared" si="31"/>
        <v>0</v>
      </c>
      <c r="U37" s="329">
        <f t="shared" si="31"/>
        <v>0</v>
      </c>
      <c r="V37" s="329">
        <f t="shared" si="31"/>
        <v>0</v>
      </c>
      <c r="W37" s="329">
        <f t="shared" si="31"/>
        <v>0</v>
      </c>
      <c r="X37" s="329">
        <f t="shared" si="31"/>
        <v>0</v>
      </c>
      <c r="Y37" s="329">
        <f t="shared" si="31"/>
        <v>0</v>
      </c>
      <c r="Z37" s="329">
        <f t="shared" si="31"/>
        <v>0</v>
      </c>
      <c r="AA37" s="329">
        <f t="shared" si="31"/>
        <v>0</v>
      </c>
      <c r="AB37" s="329">
        <f t="shared" si="31"/>
        <v>0</v>
      </c>
      <c r="AD37" s="186"/>
      <c r="AE37" s="186"/>
      <c r="AF37" s="186"/>
    </row>
    <row r="38" spans="1:32">
      <c r="B38" s="15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32"/>
      <c r="AD38" s="32"/>
      <c r="AE38" s="32"/>
      <c r="AF38" s="32"/>
    </row>
    <row r="39" spans="1:32">
      <c r="B39" s="264" t="s">
        <v>920</v>
      </c>
      <c r="C39" s="709"/>
      <c r="D39" s="709"/>
      <c r="E39" s="709"/>
      <c r="F39" s="709"/>
      <c r="G39" s="709"/>
      <c r="H39" s="709"/>
      <c r="I39" s="709"/>
      <c r="J39" s="709"/>
      <c r="K39" s="709"/>
      <c r="L39" s="709"/>
      <c r="M39" s="709"/>
      <c r="N39" s="709"/>
      <c r="O39" s="709"/>
      <c r="P39" s="709"/>
      <c r="Q39" s="709">
        <f t="shared" ref="Q39:AB39" si="32">ROUND((Q37+P39)*Q$6+P39,0)</f>
        <v>0</v>
      </c>
      <c r="R39" s="709">
        <f t="shared" si="32"/>
        <v>0</v>
      </c>
      <c r="S39" s="709">
        <f t="shared" si="32"/>
        <v>0</v>
      </c>
      <c r="T39" s="709">
        <f t="shared" si="32"/>
        <v>0</v>
      </c>
      <c r="U39" s="709">
        <f t="shared" si="32"/>
        <v>0</v>
      </c>
      <c r="V39" s="709">
        <f t="shared" si="32"/>
        <v>0</v>
      </c>
      <c r="W39" s="709">
        <f t="shared" si="32"/>
        <v>0</v>
      </c>
      <c r="X39" s="709">
        <f t="shared" si="32"/>
        <v>0</v>
      </c>
      <c r="Y39" s="709">
        <f t="shared" si="32"/>
        <v>0</v>
      </c>
      <c r="Z39" s="709">
        <f t="shared" si="32"/>
        <v>0</v>
      </c>
      <c r="AA39" s="709">
        <f t="shared" si="32"/>
        <v>0</v>
      </c>
      <c r="AB39" s="709">
        <f t="shared" si="32"/>
        <v>0</v>
      </c>
    </row>
    <row r="40" spans="1:32"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32">
      <c r="B41" s="248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18"/>
      <c r="R41" s="18"/>
      <c r="S41" s="18"/>
      <c r="T41" s="18"/>
      <c r="U41" s="483">
        <v>0</v>
      </c>
      <c r="V41" s="483">
        <v>0</v>
      </c>
      <c r="W41" s="483">
        <v>0</v>
      </c>
      <c r="X41" s="483">
        <v>0</v>
      </c>
      <c r="Y41" s="483">
        <v>0</v>
      </c>
      <c r="Z41" s="483">
        <v>1</v>
      </c>
      <c r="AA41" s="483">
        <v>2</v>
      </c>
      <c r="AB41" s="483">
        <v>3</v>
      </c>
      <c r="AD41" s="187"/>
    </row>
    <row r="42" spans="1:32">
      <c r="B42" s="11" t="s">
        <v>933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D42" s="187"/>
    </row>
    <row r="43" spans="1:32">
      <c r="B43" s="37" t="s">
        <v>730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>
        <v>0</v>
      </c>
      <c r="R43" s="168">
        <f t="shared" ref="R43" si="33">Q43</f>
        <v>0</v>
      </c>
      <c r="S43" s="168">
        <f t="shared" ref="S43:S46" si="34">R43</f>
        <v>0</v>
      </c>
      <c r="T43" s="168">
        <f t="shared" ref="T43:T46" si="35">S43</f>
        <v>0</v>
      </c>
      <c r="U43" s="168">
        <f t="shared" ref="U43:U46" si="36">T43</f>
        <v>0</v>
      </c>
      <c r="V43" s="168">
        <f t="shared" ref="V43:AB46" si="37">U43</f>
        <v>0</v>
      </c>
      <c r="W43" s="168">
        <f t="shared" si="37"/>
        <v>0</v>
      </c>
      <c r="X43" s="168">
        <f t="shared" si="37"/>
        <v>0</v>
      </c>
      <c r="Y43" s="168">
        <f t="shared" si="37"/>
        <v>0</v>
      </c>
      <c r="Z43" s="168">
        <f t="shared" si="37"/>
        <v>0</v>
      </c>
      <c r="AA43" s="168">
        <f t="shared" si="37"/>
        <v>0</v>
      </c>
      <c r="AB43" s="168">
        <f t="shared" si="37"/>
        <v>0</v>
      </c>
      <c r="AD43" s="373"/>
    </row>
    <row r="44" spans="1:32">
      <c r="A44" s="15"/>
      <c r="B44" s="37" t="s">
        <v>934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>
        <v>0</v>
      </c>
      <c r="R44" s="168">
        <f t="shared" ref="R44" si="38">Q44</f>
        <v>0</v>
      </c>
      <c r="S44" s="168">
        <f t="shared" si="34"/>
        <v>0</v>
      </c>
      <c r="T44" s="168">
        <f t="shared" si="35"/>
        <v>0</v>
      </c>
      <c r="U44" s="168">
        <f t="shared" si="36"/>
        <v>0</v>
      </c>
      <c r="V44" s="168">
        <f t="shared" si="37"/>
        <v>0</v>
      </c>
      <c r="W44" s="168">
        <f t="shared" si="37"/>
        <v>0</v>
      </c>
      <c r="X44" s="168">
        <f t="shared" si="37"/>
        <v>0</v>
      </c>
      <c r="Y44" s="168">
        <f t="shared" si="37"/>
        <v>0</v>
      </c>
      <c r="Z44" s="168">
        <f t="shared" si="37"/>
        <v>0</v>
      </c>
      <c r="AA44" s="168">
        <f t="shared" si="37"/>
        <v>0</v>
      </c>
      <c r="AB44" s="168">
        <f t="shared" si="37"/>
        <v>0</v>
      </c>
      <c r="AD44" s="187"/>
    </row>
    <row r="45" spans="1:32">
      <c r="B45" s="37" t="s">
        <v>935</v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>
        <v>0</v>
      </c>
      <c r="R45" s="168">
        <f t="shared" ref="R45" si="39">Q45</f>
        <v>0</v>
      </c>
      <c r="S45" s="168">
        <f t="shared" si="34"/>
        <v>0</v>
      </c>
      <c r="T45" s="168">
        <f t="shared" si="35"/>
        <v>0</v>
      </c>
      <c r="U45" s="168">
        <f t="shared" si="36"/>
        <v>0</v>
      </c>
      <c r="V45" s="168">
        <f t="shared" si="37"/>
        <v>0</v>
      </c>
      <c r="W45" s="168">
        <f t="shared" si="37"/>
        <v>0</v>
      </c>
      <c r="X45" s="168">
        <f t="shared" si="37"/>
        <v>0</v>
      </c>
      <c r="Y45" s="168">
        <f t="shared" si="37"/>
        <v>0</v>
      </c>
      <c r="Z45" s="168">
        <f t="shared" si="37"/>
        <v>0</v>
      </c>
      <c r="AA45" s="168">
        <f t="shared" si="37"/>
        <v>0</v>
      </c>
      <c r="AB45" s="168">
        <f t="shared" si="37"/>
        <v>0</v>
      </c>
      <c r="AD45" s="187"/>
    </row>
    <row r="46" spans="1:32">
      <c r="A46" s="15"/>
      <c r="B46" s="37" t="s">
        <v>776</v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>
        <v>0</v>
      </c>
      <c r="R46" s="168">
        <f t="shared" ref="R46" si="40">Q46</f>
        <v>0</v>
      </c>
      <c r="S46" s="168">
        <f t="shared" si="34"/>
        <v>0</v>
      </c>
      <c r="T46" s="168">
        <f t="shared" si="35"/>
        <v>0</v>
      </c>
      <c r="U46" s="168">
        <f t="shared" si="36"/>
        <v>0</v>
      </c>
      <c r="V46" s="168">
        <f t="shared" si="37"/>
        <v>0</v>
      </c>
      <c r="W46" s="168">
        <f t="shared" si="37"/>
        <v>0</v>
      </c>
      <c r="X46" s="168">
        <f t="shared" si="37"/>
        <v>0</v>
      </c>
      <c r="Y46" s="168">
        <f t="shared" si="37"/>
        <v>0</v>
      </c>
      <c r="Z46" s="168">
        <f t="shared" si="37"/>
        <v>0</v>
      </c>
      <c r="AA46" s="168">
        <f t="shared" si="37"/>
        <v>0</v>
      </c>
      <c r="AB46" s="168">
        <f t="shared" si="37"/>
        <v>0</v>
      </c>
    </row>
    <row r="47" spans="1:32">
      <c r="B47" s="855" t="s">
        <v>936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>
        <f>SUM(Q43:Q46)</f>
        <v>0</v>
      </c>
      <c r="R47" s="329">
        <f t="shared" ref="R47:V47" si="41">SUM(R43:R46)</f>
        <v>0</v>
      </c>
      <c r="S47" s="329">
        <f t="shared" si="41"/>
        <v>0</v>
      </c>
      <c r="T47" s="329">
        <f t="shared" si="41"/>
        <v>0</v>
      </c>
      <c r="U47" s="329">
        <f t="shared" si="41"/>
        <v>0</v>
      </c>
      <c r="V47" s="329">
        <f t="shared" si="41"/>
        <v>0</v>
      </c>
      <c r="W47" s="329">
        <f t="shared" ref="W47:X47" si="42">SUM(W43:W46)</f>
        <v>0</v>
      </c>
      <c r="X47" s="329">
        <f t="shared" si="42"/>
        <v>0</v>
      </c>
      <c r="Y47" s="329">
        <f t="shared" ref="Y47:Z47" si="43">SUM(Y43:Y46)</f>
        <v>0</v>
      </c>
      <c r="Z47" s="329">
        <f t="shared" si="43"/>
        <v>0</v>
      </c>
      <c r="AA47" s="329">
        <f t="shared" ref="AA47:AB47" si="44">SUM(AA43:AA46)</f>
        <v>0</v>
      </c>
      <c r="AB47" s="329">
        <f t="shared" si="44"/>
        <v>0</v>
      </c>
    </row>
    <row r="48" spans="1:32"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</row>
    <row r="49" spans="2:28">
      <c r="B49" s="264" t="s">
        <v>920</v>
      </c>
      <c r="C49" s="709"/>
      <c r="D49" s="709"/>
      <c r="E49" s="709"/>
      <c r="F49" s="709"/>
      <c r="G49" s="709"/>
      <c r="H49" s="709"/>
      <c r="I49" s="709"/>
      <c r="J49" s="709"/>
      <c r="K49" s="709"/>
      <c r="L49" s="709"/>
      <c r="M49" s="709"/>
      <c r="N49" s="709"/>
      <c r="O49" s="709"/>
      <c r="P49" s="709"/>
      <c r="Q49" s="709">
        <f t="shared" ref="Q49:AB49" si="45">ROUND((Q47+P49)*Q$41+P49,0)</f>
        <v>0</v>
      </c>
      <c r="R49" s="709">
        <f t="shared" si="45"/>
        <v>0</v>
      </c>
      <c r="S49" s="709">
        <f t="shared" si="45"/>
        <v>0</v>
      </c>
      <c r="T49" s="709">
        <f t="shared" si="45"/>
        <v>0</v>
      </c>
      <c r="U49" s="709">
        <f t="shared" si="45"/>
        <v>0</v>
      </c>
      <c r="V49" s="709">
        <f t="shared" si="45"/>
        <v>0</v>
      </c>
      <c r="W49" s="709">
        <f t="shared" si="45"/>
        <v>0</v>
      </c>
      <c r="X49" s="709">
        <f t="shared" si="45"/>
        <v>0</v>
      </c>
      <c r="Y49" s="709">
        <f t="shared" si="45"/>
        <v>0</v>
      </c>
      <c r="Z49" s="709">
        <f t="shared" si="45"/>
        <v>0</v>
      </c>
      <c r="AA49" s="709">
        <f t="shared" si="45"/>
        <v>0</v>
      </c>
      <c r="AB49" s="709">
        <f t="shared" si="45"/>
        <v>0</v>
      </c>
    </row>
    <row r="50" spans="2:28"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</row>
    <row r="51" spans="2:28" ht="12.75" thickBot="1">
      <c r="B51" s="850" t="s">
        <v>937</v>
      </c>
      <c r="C51" s="851"/>
      <c r="D51" s="851"/>
      <c r="E51" s="851"/>
      <c r="F51" s="851"/>
      <c r="G51" s="851"/>
      <c r="H51" s="851"/>
      <c r="I51" s="851"/>
      <c r="J51" s="851"/>
      <c r="K51" s="851"/>
      <c r="L51" s="851"/>
      <c r="M51" s="851"/>
      <c r="N51" s="851"/>
      <c r="O51" s="851"/>
      <c r="P51" s="851"/>
      <c r="Q51" s="851">
        <f t="shared" ref="Q51:AB51" si="46">Q16+Q28+Q39+Q49</f>
        <v>0</v>
      </c>
      <c r="R51" s="851">
        <f t="shared" si="46"/>
        <v>0</v>
      </c>
      <c r="S51" s="851">
        <f t="shared" si="46"/>
        <v>0</v>
      </c>
      <c r="T51" s="851">
        <f t="shared" si="46"/>
        <v>0</v>
      </c>
      <c r="U51" s="851">
        <f t="shared" si="46"/>
        <v>0</v>
      </c>
      <c r="V51" s="851">
        <f t="shared" si="46"/>
        <v>0</v>
      </c>
      <c r="W51" s="851">
        <f t="shared" si="46"/>
        <v>0</v>
      </c>
      <c r="X51" s="851">
        <f t="shared" si="46"/>
        <v>0</v>
      </c>
      <c r="Y51" s="851">
        <f t="shared" si="46"/>
        <v>0</v>
      </c>
      <c r="Z51" s="851">
        <f t="shared" si="46"/>
        <v>0</v>
      </c>
      <c r="AA51" s="851">
        <f t="shared" si="46"/>
        <v>0</v>
      </c>
      <c r="AB51" s="851">
        <f t="shared" si="46"/>
        <v>0</v>
      </c>
    </row>
    <row r="52" spans="2:28" ht="12.75" thickTop="1"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</row>
    <row r="53" spans="2:28">
      <c r="B53" s="2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2:28">
      <c r="B54" s="248" t="s">
        <v>206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18"/>
      <c r="R54" s="18"/>
      <c r="S54" s="18"/>
      <c r="T54" s="18"/>
      <c r="U54" s="483">
        <v>0.02</v>
      </c>
      <c r="V54" s="483">
        <v>0.02</v>
      </c>
      <c r="W54" s="483">
        <v>0.02</v>
      </c>
      <c r="X54" s="483">
        <v>0.02</v>
      </c>
      <c r="Y54" s="483">
        <v>0.02</v>
      </c>
      <c r="Z54" s="483">
        <v>0.02</v>
      </c>
      <c r="AA54" s="483">
        <v>1.02</v>
      </c>
      <c r="AB54" s="483">
        <v>2.02</v>
      </c>
    </row>
    <row r="55" spans="2:28">
      <c r="B55" s="11" t="s">
        <v>938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</row>
    <row r="56" spans="2:28">
      <c r="B56" s="37" t="s">
        <v>939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>
        <v>0</v>
      </c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</row>
    <row r="57" spans="2:28">
      <c r="B57" s="37" t="s">
        <v>940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>
        <v>0</v>
      </c>
      <c r="R57" s="168">
        <f t="shared" ref="R57" si="47">Q57</f>
        <v>0</v>
      </c>
      <c r="S57" s="168">
        <f t="shared" ref="S57" si="48">R57</f>
        <v>0</v>
      </c>
      <c r="T57" s="168">
        <f t="shared" ref="T57" si="49">S57</f>
        <v>0</v>
      </c>
      <c r="U57" s="168">
        <f t="shared" ref="U57" si="50">T57</f>
        <v>0</v>
      </c>
      <c r="V57" s="168">
        <f t="shared" ref="V57:AB57" si="51">U57</f>
        <v>0</v>
      </c>
      <c r="W57" s="168">
        <f t="shared" si="51"/>
        <v>0</v>
      </c>
      <c r="X57" s="168">
        <f t="shared" si="51"/>
        <v>0</v>
      </c>
      <c r="Y57" s="168">
        <f t="shared" si="51"/>
        <v>0</v>
      </c>
      <c r="Z57" s="168">
        <f t="shared" si="51"/>
        <v>0</v>
      </c>
      <c r="AA57" s="168">
        <f t="shared" si="51"/>
        <v>0</v>
      </c>
      <c r="AB57" s="168">
        <f t="shared" si="51"/>
        <v>0</v>
      </c>
    </row>
    <row r="58" spans="2:28">
      <c r="B58" s="37" t="s">
        <v>926</v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>
        <v>0</v>
      </c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</row>
    <row r="59" spans="2:28">
      <c r="B59" s="37" t="s">
        <v>941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>
        <v>0</v>
      </c>
      <c r="R59" s="168">
        <f t="shared" ref="R59:AB59" si="52">Q59</f>
        <v>0</v>
      </c>
      <c r="S59" s="168">
        <f t="shared" si="52"/>
        <v>0</v>
      </c>
      <c r="T59" s="168">
        <f t="shared" si="52"/>
        <v>0</v>
      </c>
      <c r="U59" s="168">
        <f t="shared" si="52"/>
        <v>0</v>
      </c>
      <c r="V59" s="168">
        <f t="shared" si="52"/>
        <v>0</v>
      </c>
      <c r="W59" s="168">
        <f t="shared" si="52"/>
        <v>0</v>
      </c>
      <c r="X59" s="168">
        <f t="shared" si="52"/>
        <v>0</v>
      </c>
      <c r="Y59" s="168">
        <f t="shared" si="52"/>
        <v>0</v>
      </c>
      <c r="Z59" s="168">
        <f t="shared" si="52"/>
        <v>0</v>
      </c>
      <c r="AA59" s="168">
        <f t="shared" si="52"/>
        <v>0</v>
      </c>
      <c r="AB59" s="168">
        <f t="shared" si="52"/>
        <v>0</v>
      </c>
    </row>
    <row r="60" spans="2:28">
      <c r="B60" s="767" t="s">
        <v>291</v>
      </c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>
        <f t="shared" ref="Q60:V60" si="53">SUM(Q56:Q59)</f>
        <v>0</v>
      </c>
      <c r="R60" s="329">
        <f t="shared" si="53"/>
        <v>0</v>
      </c>
      <c r="S60" s="329">
        <f t="shared" si="53"/>
        <v>0</v>
      </c>
      <c r="T60" s="329">
        <f t="shared" si="53"/>
        <v>0</v>
      </c>
      <c r="U60" s="329">
        <f t="shared" si="53"/>
        <v>0</v>
      </c>
      <c r="V60" s="329">
        <f t="shared" si="53"/>
        <v>0</v>
      </c>
      <c r="W60" s="329">
        <f t="shared" ref="W60:X60" si="54">SUM(W56:W59)</f>
        <v>0</v>
      </c>
      <c r="X60" s="329">
        <f t="shared" si="54"/>
        <v>0</v>
      </c>
      <c r="Y60" s="329">
        <f t="shared" ref="Y60:Z60" si="55">SUM(Y56:Y59)</f>
        <v>0</v>
      </c>
      <c r="Z60" s="329">
        <f t="shared" si="55"/>
        <v>0</v>
      </c>
      <c r="AA60" s="329">
        <f t="shared" ref="AA60:AB60" si="56">SUM(AA56:AA59)</f>
        <v>0</v>
      </c>
      <c r="AB60" s="329">
        <f t="shared" si="56"/>
        <v>0</v>
      </c>
    </row>
    <row r="61" spans="2:28">
      <c r="B61" s="15"/>
      <c r="N61" s="27"/>
      <c r="O61" s="251"/>
      <c r="P61" s="487"/>
      <c r="Q61" s="487"/>
      <c r="R61" s="487"/>
      <c r="S61" s="487"/>
      <c r="T61" s="487"/>
      <c r="U61" s="487"/>
      <c r="V61" s="487"/>
      <c r="W61" s="487"/>
      <c r="X61" s="487"/>
      <c r="Y61" s="487"/>
      <c r="Z61" s="487"/>
      <c r="AA61" s="487"/>
      <c r="AB61" s="487"/>
    </row>
    <row r="62" spans="2:28" ht="12.75" thickBot="1">
      <c r="B62" s="850" t="s">
        <v>942</v>
      </c>
      <c r="C62" s="852"/>
      <c r="D62" s="852"/>
      <c r="E62" s="852"/>
      <c r="F62" s="852"/>
      <c r="G62" s="852"/>
      <c r="H62" s="852"/>
      <c r="I62" s="852"/>
      <c r="J62" s="852"/>
      <c r="K62" s="852"/>
      <c r="L62" s="852"/>
      <c r="M62" s="852"/>
      <c r="N62" s="853"/>
      <c r="O62" s="853"/>
      <c r="P62" s="851"/>
      <c r="Q62" s="851">
        <f t="shared" ref="Q62:AB62" si="57">ROUND((Q60+P62)*Q$54+P62,0)</f>
        <v>0</v>
      </c>
      <c r="R62" s="851">
        <f t="shared" si="57"/>
        <v>0</v>
      </c>
      <c r="S62" s="851">
        <f t="shared" si="57"/>
        <v>0</v>
      </c>
      <c r="T62" s="851">
        <f t="shared" si="57"/>
        <v>0</v>
      </c>
      <c r="U62" s="851">
        <f t="shared" si="57"/>
        <v>0</v>
      </c>
      <c r="V62" s="851">
        <f t="shared" si="57"/>
        <v>0</v>
      </c>
      <c r="W62" s="851">
        <f t="shared" si="57"/>
        <v>0</v>
      </c>
      <c r="X62" s="851">
        <f t="shared" si="57"/>
        <v>0</v>
      </c>
      <c r="Y62" s="851">
        <f t="shared" si="57"/>
        <v>0</v>
      </c>
      <c r="Z62" s="851">
        <f t="shared" si="57"/>
        <v>0</v>
      </c>
      <c r="AA62" s="851">
        <f t="shared" si="57"/>
        <v>0</v>
      </c>
      <c r="AB62" s="851">
        <f t="shared" si="57"/>
        <v>0</v>
      </c>
    </row>
    <row r="63" spans="2:28" ht="12.75" thickTop="1"/>
  </sheetData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rowBreaks count="1" manualBreakCount="1">
    <brk id="36" max="2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</sheetPr>
  <dimension ref="A1:AD58"/>
  <sheetViews>
    <sheetView showGridLines="0" zoomScale="90" zoomScaleNormal="90" zoomScaleSheetLayoutView="100" workbookViewId="0">
      <pane xSplit="2" ySplit="4" topLeftCell="Q5" activePane="bottomRight" state="frozen"/>
      <selection pane="bottomRight" activeCell="AI36" sqref="AI36"/>
      <selection pane="bottomLeft" activeCell="A7" sqref="A7"/>
      <selection pane="topRight" activeCell="B1" sqref="B1"/>
    </sheetView>
  </sheetViews>
  <sheetFormatPr defaultColWidth="8.75" defaultRowHeight="12"/>
  <cols>
    <col min="1" max="1" width="3" style="206" customWidth="1"/>
    <col min="2" max="2" width="38.875" style="49" customWidth="1"/>
    <col min="3" max="8" width="6.75" style="492" hidden="1" customWidth="1"/>
    <col min="9" max="9" width="8.125" style="492" hidden="1" customWidth="1"/>
    <col min="10" max="11" width="8.875" style="492" hidden="1" customWidth="1"/>
    <col min="12" max="12" width="7.375" style="492" hidden="1" customWidth="1"/>
    <col min="13" max="13" width="8.375" style="492" customWidth="1"/>
    <col min="14" max="14" width="8.625" style="492" bestFit="1" customWidth="1"/>
    <col min="15" max="17" width="8.625" style="493" bestFit="1" customWidth="1"/>
    <col min="18" max="18" width="6.625" style="493" bestFit="1" customWidth="1"/>
    <col min="19" max="23" width="8.125" style="493" bestFit="1" customWidth="1"/>
    <col min="24" max="27" width="8.125" style="493" customWidth="1"/>
    <col min="28" max="28" width="1.625" style="493" customWidth="1"/>
    <col min="29" max="29" width="6.5" style="901" bestFit="1" customWidth="1"/>
    <col min="30" max="30" width="11" style="206" bestFit="1" customWidth="1"/>
    <col min="31" max="31" width="1.625" style="49" customWidth="1"/>
    <col min="32" max="16384" width="8.75" style="49"/>
  </cols>
  <sheetData>
    <row r="1" spans="1:30">
      <c r="B1" s="25" t="str">
        <f>Summary!B1</f>
        <v>Municipality of Berkley</v>
      </c>
      <c r="C1" s="491"/>
      <c r="D1" s="491"/>
      <c r="E1" s="491"/>
      <c r="F1" s="491"/>
      <c r="G1" s="491"/>
      <c r="H1" s="491"/>
      <c r="I1" s="491"/>
      <c r="N1" s="493"/>
    </row>
    <row r="2" spans="1:30">
      <c r="B2" s="12" t="s">
        <v>943</v>
      </c>
      <c r="N2" s="493"/>
    </row>
    <row r="3" spans="1:30">
      <c r="B3" s="32"/>
      <c r="C3" s="494" t="s">
        <v>705</v>
      </c>
      <c r="D3" s="494" t="s">
        <v>82</v>
      </c>
      <c r="E3" s="494" t="s">
        <v>83</v>
      </c>
      <c r="F3" s="494" t="s">
        <v>84</v>
      </c>
      <c r="G3" s="494" t="s">
        <v>85</v>
      </c>
      <c r="H3" s="494" t="s">
        <v>86</v>
      </c>
      <c r="I3" s="494" t="s">
        <v>87</v>
      </c>
      <c r="J3" s="494" t="s">
        <v>88</v>
      </c>
      <c r="K3" s="494" t="s">
        <v>89</v>
      </c>
      <c r="L3" s="494" t="s">
        <v>90</v>
      </c>
      <c r="M3" s="494" t="s">
        <v>91</v>
      </c>
      <c r="N3" s="495" t="s">
        <v>92</v>
      </c>
      <c r="O3" s="495" t="s">
        <v>93</v>
      </c>
      <c r="P3" s="495" t="s">
        <v>94</v>
      </c>
      <c r="Q3" s="80" t="s">
        <v>95</v>
      </c>
      <c r="R3" s="80" t="s">
        <v>96</v>
      </c>
      <c r="S3" s="80" t="s">
        <v>97</v>
      </c>
      <c r="T3" s="80" t="s">
        <v>98</v>
      </c>
      <c r="U3" s="80" t="s">
        <v>99</v>
      </c>
      <c r="V3" s="80" t="s">
        <v>100</v>
      </c>
      <c r="W3" s="80" t="s">
        <v>101</v>
      </c>
      <c r="X3" s="80" t="s">
        <v>102</v>
      </c>
      <c r="Y3" s="80" t="s">
        <v>103</v>
      </c>
      <c r="Z3" s="80" t="s">
        <v>104</v>
      </c>
      <c r="AA3" s="80" t="s">
        <v>105</v>
      </c>
      <c r="AC3" s="782" t="s">
        <v>212</v>
      </c>
      <c r="AD3" s="893" t="s">
        <v>157</v>
      </c>
    </row>
    <row r="4" spans="1:30">
      <c r="C4" s="495" t="s">
        <v>158</v>
      </c>
      <c r="D4" s="495" t="s">
        <v>158</v>
      </c>
      <c r="E4" s="495" t="s">
        <v>158</v>
      </c>
      <c r="F4" s="495" t="s">
        <v>158</v>
      </c>
      <c r="G4" s="495" t="s">
        <v>158</v>
      </c>
      <c r="H4" s="495" t="s">
        <v>158</v>
      </c>
      <c r="I4" s="495" t="s">
        <v>158</v>
      </c>
      <c r="J4" s="495" t="s">
        <v>158</v>
      </c>
      <c r="K4" s="495" t="s">
        <v>158</v>
      </c>
      <c r="L4" s="495" t="s">
        <v>158</v>
      </c>
      <c r="M4" s="495" t="s">
        <v>158</v>
      </c>
      <c r="N4" s="495" t="s">
        <v>158</v>
      </c>
      <c r="O4" s="495" t="s">
        <v>158</v>
      </c>
      <c r="P4" s="495" t="s">
        <v>158</v>
      </c>
      <c r="Q4" s="80" t="s">
        <v>158</v>
      </c>
      <c r="R4" s="495" t="s">
        <v>158</v>
      </c>
      <c r="S4" s="495" t="s">
        <v>158</v>
      </c>
      <c r="T4" s="495" t="s">
        <v>158</v>
      </c>
      <c r="U4" s="495" t="s">
        <v>158</v>
      </c>
      <c r="V4" s="80" t="s">
        <v>158</v>
      </c>
      <c r="W4" s="80" t="s">
        <v>159</v>
      </c>
      <c r="X4" s="80" t="s">
        <v>159</v>
      </c>
      <c r="Y4" s="80" t="s">
        <v>159</v>
      </c>
      <c r="Z4" s="80" t="s">
        <v>159</v>
      </c>
      <c r="AA4" s="80" t="s">
        <v>159</v>
      </c>
      <c r="AC4" s="782" t="s">
        <v>213</v>
      </c>
      <c r="AD4" s="893" t="s">
        <v>160</v>
      </c>
    </row>
    <row r="5" spans="1:30">
      <c r="A5" s="206" t="s">
        <v>142</v>
      </c>
      <c r="B5" s="496" t="s">
        <v>944</v>
      </c>
      <c r="C5" s="497"/>
      <c r="D5" s="497"/>
      <c r="E5" s="497"/>
      <c r="F5" s="497"/>
      <c r="G5" s="497"/>
      <c r="H5" s="497"/>
      <c r="I5" s="498"/>
      <c r="J5" s="499"/>
      <c r="K5" s="499"/>
      <c r="L5" s="499"/>
      <c r="M5" s="499"/>
      <c r="N5" s="499"/>
      <c r="O5" s="500"/>
      <c r="P5" s="500"/>
      <c r="AD5" s="902"/>
    </row>
    <row r="6" spans="1:30">
      <c r="B6" s="501" t="s">
        <v>945</v>
      </c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>
        <v>0</v>
      </c>
      <c r="N6" s="639">
        <v>0</v>
      </c>
      <c r="O6" s="639">
        <v>0</v>
      </c>
      <c r="P6" s="639">
        <v>0</v>
      </c>
      <c r="Q6" s="639">
        <v>0</v>
      </c>
      <c r="R6" s="639">
        <v>0</v>
      </c>
      <c r="S6" s="639">
        <v>0</v>
      </c>
      <c r="T6" s="639">
        <v>0</v>
      </c>
      <c r="U6" s="639">
        <v>0</v>
      </c>
      <c r="V6" s="639">
        <v>0</v>
      </c>
      <c r="W6" s="638">
        <f t="shared" ref="W6:AA7" si="0">V6*(1+$AD6)</f>
        <v>0</v>
      </c>
      <c r="X6" s="638">
        <f t="shared" si="0"/>
        <v>0</v>
      </c>
      <c r="Y6" s="638">
        <f t="shared" si="0"/>
        <v>0</v>
      </c>
      <c r="Z6" s="638">
        <f t="shared" si="0"/>
        <v>0</v>
      </c>
      <c r="AA6" s="638">
        <f t="shared" si="0"/>
        <v>0</v>
      </c>
      <c r="AC6" s="901" t="str">
        <f t="shared" ref="AC6:AC7" si="1">IFERROR(AVERAGE((N6-M6)/M6,(O6-N6)/N6,(P6-O6)/O6,(Q6-P6)/P6,(R6-Q6)/Q6),"")</f>
        <v/>
      </c>
      <c r="AD6" s="903">
        <v>0</v>
      </c>
    </row>
    <row r="7" spans="1:30">
      <c r="B7" s="501" t="s">
        <v>946</v>
      </c>
      <c r="C7" s="639"/>
      <c r="D7" s="639"/>
      <c r="E7" s="639"/>
      <c r="F7" s="639"/>
      <c r="G7" s="639"/>
      <c r="H7" s="639"/>
      <c r="I7" s="639"/>
      <c r="J7" s="639"/>
      <c r="K7" s="639"/>
      <c r="L7" s="639"/>
      <c r="M7" s="639">
        <v>0</v>
      </c>
      <c r="N7" s="639">
        <v>0</v>
      </c>
      <c r="O7" s="639">
        <v>0</v>
      </c>
      <c r="P7" s="639">
        <v>0</v>
      </c>
      <c r="Q7" s="639">
        <v>0</v>
      </c>
      <c r="R7" s="639">
        <v>0</v>
      </c>
      <c r="S7" s="639">
        <v>0</v>
      </c>
      <c r="T7" s="639">
        <v>0</v>
      </c>
      <c r="U7" s="639">
        <v>0</v>
      </c>
      <c r="V7" s="639">
        <v>0</v>
      </c>
      <c r="W7" s="638">
        <f t="shared" si="0"/>
        <v>0</v>
      </c>
      <c r="X7" s="638">
        <f t="shared" si="0"/>
        <v>0</v>
      </c>
      <c r="Y7" s="638">
        <f t="shared" si="0"/>
        <v>0</v>
      </c>
      <c r="Z7" s="638">
        <f t="shared" si="0"/>
        <v>0</v>
      </c>
      <c r="AA7" s="638">
        <f t="shared" si="0"/>
        <v>0</v>
      </c>
      <c r="AC7" s="901" t="str">
        <f t="shared" si="1"/>
        <v/>
      </c>
      <c r="AD7" s="903">
        <v>0</v>
      </c>
    </row>
    <row r="8" spans="1:30">
      <c r="C8" s="498"/>
      <c r="D8" s="498"/>
      <c r="E8" s="498"/>
      <c r="F8" s="498"/>
      <c r="G8" s="498"/>
      <c r="H8" s="498"/>
      <c r="I8" s="498"/>
      <c r="J8" s="503"/>
      <c r="K8" s="503"/>
      <c r="L8" s="503"/>
      <c r="M8" s="503"/>
      <c r="N8" s="503"/>
      <c r="O8" s="500"/>
      <c r="P8" s="500"/>
      <c r="AD8" s="901"/>
    </row>
    <row r="9" spans="1:30">
      <c r="A9" s="206" t="s">
        <v>142</v>
      </c>
      <c r="B9" s="911" t="s">
        <v>947</v>
      </c>
      <c r="C9" s="497"/>
      <c r="D9" s="497"/>
      <c r="E9" s="497"/>
      <c r="F9" s="497"/>
      <c r="G9" s="497"/>
      <c r="H9" s="497"/>
      <c r="I9" s="498"/>
      <c r="J9" s="503"/>
      <c r="K9" s="503"/>
      <c r="L9" s="503"/>
      <c r="M9" s="503"/>
      <c r="N9" s="503"/>
      <c r="O9" s="500"/>
      <c r="P9" s="500"/>
      <c r="AD9" s="901"/>
    </row>
    <row r="10" spans="1:30">
      <c r="B10" s="504" t="s">
        <v>948</v>
      </c>
      <c r="C10" s="714"/>
      <c r="D10" s="714"/>
      <c r="E10" s="714"/>
      <c r="F10" s="714"/>
      <c r="G10" s="714"/>
      <c r="H10" s="714"/>
      <c r="I10" s="714"/>
      <c r="J10" s="714"/>
      <c r="K10" s="714"/>
      <c r="L10" s="714"/>
      <c r="M10" s="714">
        <v>0</v>
      </c>
      <c r="N10" s="714">
        <v>0</v>
      </c>
      <c r="O10" s="714">
        <v>0</v>
      </c>
      <c r="P10" s="714">
        <v>0</v>
      </c>
      <c r="Q10" s="714">
        <v>0</v>
      </c>
      <c r="R10" s="714">
        <v>0</v>
      </c>
      <c r="S10" s="714">
        <v>0</v>
      </c>
      <c r="T10" s="714">
        <v>0</v>
      </c>
      <c r="U10" s="714">
        <v>0</v>
      </c>
      <c r="V10" s="714">
        <v>0</v>
      </c>
      <c r="W10" s="505">
        <f t="shared" ref="W10:AA10" si="2">V10*(1+$AD10)</f>
        <v>0</v>
      </c>
      <c r="X10" s="505">
        <f t="shared" si="2"/>
        <v>0</v>
      </c>
      <c r="Y10" s="505">
        <f t="shared" si="2"/>
        <v>0</v>
      </c>
      <c r="Z10" s="505">
        <f t="shared" si="2"/>
        <v>0</v>
      </c>
      <c r="AA10" s="505">
        <f t="shared" si="2"/>
        <v>0</v>
      </c>
      <c r="AC10" s="901" t="str">
        <f t="shared" ref="AC10:AC12" si="3">IFERROR(AVERAGE((N10-M10)/M10,(O10-N10)/N10,(P10-O10)/O10,(Q10-P10)/P10,(R10-Q10)/Q10),"")</f>
        <v/>
      </c>
      <c r="AD10" s="903">
        <v>0</v>
      </c>
    </row>
    <row r="11" spans="1:30">
      <c r="B11" s="504" t="s">
        <v>949</v>
      </c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>
        <v>0</v>
      </c>
      <c r="N11" s="506">
        <v>0</v>
      </c>
      <c r="O11" s="506">
        <v>0</v>
      </c>
      <c r="P11" s="506">
        <v>0</v>
      </c>
      <c r="Q11" s="506">
        <v>0</v>
      </c>
      <c r="R11" s="506">
        <v>0</v>
      </c>
      <c r="S11" s="506">
        <v>0</v>
      </c>
      <c r="T11" s="506">
        <v>0</v>
      </c>
      <c r="U11" s="506">
        <v>0</v>
      </c>
      <c r="V11" s="506">
        <v>0</v>
      </c>
      <c r="W11" s="505">
        <f t="shared" ref="W11:AA13" si="4">V11*(1+$AD11)</f>
        <v>0</v>
      </c>
      <c r="X11" s="505">
        <f t="shared" si="4"/>
        <v>0</v>
      </c>
      <c r="Y11" s="505">
        <f t="shared" si="4"/>
        <v>0</v>
      </c>
      <c r="Z11" s="505">
        <f t="shared" si="4"/>
        <v>0</v>
      </c>
      <c r="AA11" s="505">
        <f t="shared" si="4"/>
        <v>0</v>
      </c>
      <c r="AC11" s="901" t="str">
        <f t="shared" si="3"/>
        <v/>
      </c>
      <c r="AD11" s="903">
        <v>0</v>
      </c>
    </row>
    <row r="12" spans="1:30">
      <c r="B12" s="504" t="s">
        <v>949</v>
      </c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>
        <v>0</v>
      </c>
      <c r="N12" s="506">
        <v>0</v>
      </c>
      <c r="O12" s="506">
        <v>0</v>
      </c>
      <c r="P12" s="506">
        <v>0</v>
      </c>
      <c r="Q12" s="506">
        <v>0</v>
      </c>
      <c r="R12" s="506">
        <v>0</v>
      </c>
      <c r="S12" s="506">
        <v>0</v>
      </c>
      <c r="T12" s="506">
        <v>0</v>
      </c>
      <c r="U12" s="506">
        <v>0</v>
      </c>
      <c r="V12" s="506">
        <v>0</v>
      </c>
      <c r="W12" s="505">
        <f t="shared" si="4"/>
        <v>0</v>
      </c>
      <c r="X12" s="505">
        <f t="shared" si="4"/>
        <v>0</v>
      </c>
      <c r="Y12" s="505">
        <f t="shared" si="4"/>
        <v>0</v>
      </c>
      <c r="Z12" s="505">
        <f t="shared" si="4"/>
        <v>0</v>
      </c>
      <c r="AA12" s="505">
        <f t="shared" si="4"/>
        <v>0</v>
      </c>
      <c r="AC12" s="901" t="str">
        <f t="shared" si="3"/>
        <v/>
      </c>
      <c r="AD12" s="903">
        <v>0</v>
      </c>
    </row>
    <row r="13" spans="1:30">
      <c r="B13" s="504" t="s">
        <v>949</v>
      </c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>
        <v>0</v>
      </c>
      <c r="N13" s="506">
        <v>0</v>
      </c>
      <c r="O13" s="506">
        <v>0</v>
      </c>
      <c r="P13" s="506">
        <v>0</v>
      </c>
      <c r="Q13" s="506">
        <v>0</v>
      </c>
      <c r="R13" s="506">
        <v>0</v>
      </c>
      <c r="S13" s="506">
        <v>0</v>
      </c>
      <c r="T13" s="506">
        <v>0</v>
      </c>
      <c r="U13" s="506">
        <v>0</v>
      </c>
      <c r="V13" s="506">
        <v>0</v>
      </c>
      <c r="W13" s="505">
        <f t="shared" si="4"/>
        <v>0</v>
      </c>
      <c r="X13" s="505">
        <f t="shared" si="4"/>
        <v>0</v>
      </c>
      <c r="Y13" s="505">
        <f t="shared" si="4"/>
        <v>0</v>
      </c>
      <c r="Z13" s="505">
        <f t="shared" si="4"/>
        <v>0</v>
      </c>
      <c r="AA13" s="505">
        <f t="shared" si="4"/>
        <v>0</v>
      </c>
      <c r="AC13" s="901" t="str">
        <f>IFERROR(AVERAGE((N13-M13)/M13,(O13-N13)/N13,(P13-O13)/O13,(Q13-P13)/P13,(R13-Q13)/Q13),"")</f>
        <v/>
      </c>
      <c r="AD13" s="903">
        <v>0</v>
      </c>
    </row>
    <row r="14" spans="1:30">
      <c r="C14" s="498" t="str">
        <f>IF(SUM(C10:C13)&gt;1,"error","")</f>
        <v/>
      </c>
      <c r="D14" s="498" t="str">
        <f t="shared" ref="D14:W14" si="5">IF(SUM(D10:D13)&gt;1,"error","")</f>
        <v/>
      </c>
      <c r="E14" s="498" t="str">
        <f t="shared" si="5"/>
        <v/>
      </c>
      <c r="F14" s="498" t="str">
        <f t="shared" si="5"/>
        <v/>
      </c>
      <c r="G14" s="498" t="str">
        <f t="shared" si="5"/>
        <v/>
      </c>
      <c r="H14" s="498" t="str">
        <f t="shared" si="5"/>
        <v/>
      </c>
      <c r="I14" s="498" t="str">
        <f t="shared" si="5"/>
        <v/>
      </c>
      <c r="J14" s="498" t="str">
        <f t="shared" si="5"/>
        <v/>
      </c>
      <c r="K14" s="498" t="str">
        <f t="shared" si="5"/>
        <v/>
      </c>
      <c r="L14" s="498" t="str">
        <f t="shared" si="5"/>
        <v/>
      </c>
      <c r="M14" s="498" t="str">
        <f t="shared" si="5"/>
        <v/>
      </c>
      <c r="N14" s="498" t="str">
        <f t="shared" si="5"/>
        <v/>
      </c>
      <c r="O14" s="498" t="str">
        <f t="shared" si="5"/>
        <v/>
      </c>
      <c r="P14" s="498" t="str">
        <f t="shared" si="5"/>
        <v/>
      </c>
      <c r="Q14" s="498" t="str">
        <f t="shared" si="5"/>
        <v/>
      </c>
      <c r="R14" s="498" t="str">
        <f t="shared" si="5"/>
        <v/>
      </c>
      <c r="S14" s="498" t="str">
        <f t="shared" si="5"/>
        <v/>
      </c>
      <c r="T14" s="498" t="str">
        <f t="shared" si="5"/>
        <v/>
      </c>
      <c r="U14" s="498" t="str">
        <f t="shared" si="5"/>
        <v/>
      </c>
      <c r="V14" s="498" t="str">
        <f t="shared" si="5"/>
        <v/>
      </c>
      <c r="W14" s="498" t="str">
        <f t="shared" si="5"/>
        <v/>
      </c>
      <c r="X14" s="498" t="str">
        <f t="shared" ref="X14:Y14" si="6">IF(SUM(X10:X13)&gt;1,"error","")</f>
        <v/>
      </c>
      <c r="Y14" s="498" t="str">
        <f t="shared" si="6"/>
        <v/>
      </c>
      <c r="Z14" s="498" t="str">
        <f t="shared" ref="Z14:AA14" si="7">IF(SUM(Z10:Z13)&gt;1,"error","")</f>
        <v/>
      </c>
      <c r="AA14" s="498" t="str">
        <f t="shared" si="7"/>
        <v/>
      </c>
      <c r="AD14" s="901"/>
    </row>
    <row r="15" spans="1:30">
      <c r="A15" s="206" t="s">
        <v>142</v>
      </c>
      <c r="B15" s="496" t="s">
        <v>950</v>
      </c>
      <c r="C15" s="497"/>
      <c r="D15" s="497"/>
      <c r="E15" s="497"/>
      <c r="F15" s="497"/>
      <c r="G15" s="497"/>
      <c r="H15" s="497"/>
      <c r="I15" s="498"/>
      <c r="J15" s="503"/>
      <c r="K15" s="503"/>
      <c r="L15" s="503"/>
      <c r="M15" s="503"/>
      <c r="N15" s="503"/>
      <c r="O15" s="500"/>
      <c r="P15" s="500"/>
      <c r="AD15" s="901"/>
    </row>
    <row r="16" spans="1:30">
      <c r="B16" s="501" t="s">
        <v>951</v>
      </c>
      <c r="C16" s="639"/>
      <c r="D16" s="639"/>
      <c r="E16" s="639"/>
      <c r="F16" s="639"/>
      <c r="G16" s="639"/>
      <c r="H16" s="639"/>
      <c r="I16" s="639"/>
      <c r="J16" s="639"/>
      <c r="K16" s="639"/>
      <c r="L16" s="639"/>
      <c r="M16" s="639">
        <f>ROUND(+M6*M10,0)</f>
        <v>0</v>
      </c>
      <c r="N16" s="639">
        <f t="shared" ref="N16:R16" si="8">ROUND(+N6*N10,0)</f>
        <v>0</v>
      </c>
      <c r="O16" s="639">
        <f t="shared" si="8"/>
        <v>0</v>
      </c>
      <c r="P16" s="639">
        <f t="shared" si="8"/>
        <v>0</v>
      </c>
      <c r="Q16" s="639">
        <f>ROUND(+Q6*Q10,0)</f>
        <v>0</v>
      </c>
      <c r="R16" s="639">
        <f t="shared" si="8"/>
        <v>0</v>
      </c>
      <c r="S16" s="639">
        <f t="shared" ref="S16" si="9">ROUND(+S6*S10,0)</f>
        <v>0</v>
      </c>
      <c r="T16" s="638">
        <f t="shared" ref="T16:W16" si="10">ROUND(T6*T10,0)</f>
        <v>0</v>
      </c>
      <c r="U16" s="638">
        <f t="shared" si="10"/>
        <v>0</v>
      </c>
      <c r="V16" s="638">
        <f t="shared" si="10"/>
        <v>0</v>
      </c>
      <c r="W16" s="638">
        <f t="shared" si="10"/>
        <v>0</v>
      </c>
      <c r="X16" s="638">
        <f t="shared" ref="X16:Y16" si="11">ROUND(X6*X10,0)</f>
        <v>0</v>
      </c>
      <c r="Y16" s="638">
        <f t="shared" si="11"/>
        <v>0</v>
      </c>
      <c r="Z16" s="638">
        <f t="shared" ref="Z16:AA16" si="12">ROUND(Z6*Z10,0)</f>
        <v>0</v>
      </c>
      <c r="AA16" s="638">
        <f t="shared" si="12"/>
        <v>0</v>
      </c>
      <c r="AC16" s="901" t="str">
        <f t="shared" ref="AC16:AC29" si="13">IFERROR(AVERAGE((N16-M16)/M16,(O16-N16)/N16,(P16-O16)/O16,(Q16-P16)/P16,(R16-Q16)/Q16),"")</f>
        <v/>
      </c>
      <c r="AD16" s="901"/>
    </row>
    <row r="17" spans="1:30">
      <c r="B17" s="927" t="s">
        <v>952</v>
      </c>
      <c r="C17" s="639"/>
      <c r="D17" s="639"/>
      <c r="E17" s="639"/>
      <c r="F17" s="639"/>
      <c r="G17" s="639"/>
      <c r="H17" s="639"/>
      <c r="I17" s="639"/>
      <c r="J17" s="639"/>
      <c r="K17" s="639"/>
      <c r="L17" s="639"/>
      <c r="M17" s="639">
        <f>ROUND(+M7*M10,0)</f>
        <v>0</v>
      </c>
      <c r="N17" s="639">
        <f t="shared" ref="N17:R17" si="14">ROUND(+N7*N10,0)</f>
        <v>0</v>
      </c>
      <c r="O17" s="639">
        <f t="shared" si="14"/>
        <v>0</v>
      </c>
      <c r="P17" s="639">
        <f t="shared" si="14"/>
        <v>0</v>
      </c>
      <c r="Q17" s="639">
        <f t="shared" si="14"/>
        <v>0</v>
      </c>
      <c r="R17" s="639">
        <f t="shared" si="14"/>
        <v>0</v>
      </c>
      <c r="S17" s="639">
        <f t="shared" ref="S17" si="15">ROUND(+S7*S10,0)</f>
        <v>0</v>
      </c>
      <c r="T17" s="638">
        <f t="shared" ref="T17:W17" si="16">ROUND(T7*T10,0)</f>
        <v>0</v>
      </c>
      <c r="U17" s="638">
        <f t="shared" si="16"/>
        <v>0</v>
      </c>
      <c r="V17" s="638">
        <f t="shared" si="16"/>
        <v>0</v>
      </c>
      <c r="W17" s="638">
        <f t="shared" si="16"/>
        <v>0</v>
      </c>
      <c r="X17" s="638">
        <f t="shared" ref="X17:Y17" si="17">ROUND(X7*X10,0)</f>
        <v>0</v>
      </c>
      <c r="Y17" s="638">
        <f t="shared" si="17"/>
        <v>0</v>
      </c>
      <c r="Z17" s="638">
        <f t="shared" ref="Z17:AA17" si="18">ROUND(Z7*Z10,0)</f>
        <v>0</v>
      </c>
      <c r="AA17" s="638">
        <f t="shared" si="18"/>
        <v>0</v>
      </c>
      <c r="AB17" s="507"/>
      <c r="AC17" s="901" t="str">
        <f t="shared" si="13"/>
        <v/>
      </c>
      <c r="AD17" s="901"/>
    </row>
    <row r="18" spans="1:30">
      <c r="B18" s="501" t="s">
        <v>953</v>
      </c>
      <c r="C18" s="639"/>
      <c r="D18" s="639"/>
      <c r="E18" s="639"/>
      <c r="F18" s="639"/>
      <c r="G18" s="639"/>
      <c r="H18" s="639"/>
      <c r="I18" s="639"/>
      <c r="J18" s="639"/>
      <c r="K18" s="639"/>
      <c r="L18" s="639"/>
      <c r="M18" s="639">
        <f>+M16-M17</f>
        <v>0</v>
      </c>
      <c r="N18" s="639">
        <f t="shared" ref="N18:S18" si="19">+N16-N17</f>
        <v>0</v>
      </c>
      <c r="O18" s="639">
        <f t="shared" si="19"/>
        <v>0</v>
      </c>
      <c r="P18" s="639">
        <f t="shared" si="19"/>
        <v>0</v>
      </c>
      <c r="Q18" s="639">
        <f t="shared" si="19"/>
        <v>0</v>
      </c>
      <c r="R18" s="639">
        <f t="shared" si="19"/>
        <v>0</v>
      </c>
      <c r="S18" s="639">
        <f t="shared" si="19"/>
        <v>0</v>
      </c>
      <c r="T18" s="639">
        <f t="shared" ref="T18:V18" si="20">+T16-T17</f>
        <v>0</v>
      </c>
      <c r="U18" s="639">
        <f t="shared" si="20"/>
        <v>0</v>
      </c>
      <c r="V18" s="639">
        <f t="shared" si="20"/>
        <v>0</v>
      </c>
      <c r="W18" s="639">
        <f t="shared" ref="W18:X18" si="21">+W16-W17</f>
        <v>0</v>
      </c>
      <c r="X18" s="639">
        <f t="shared" si="21"/>
        <v>0</v>
      </c>
      <c r="Y18" s="639">
        <f t="shared" ref="Y18:Z18" si="22">+Y16-Y17</f>
        <v>0</v>
      </c>
      <c r="Z18" s="639">
        <f t="shared" si="22"/>
        <v>0</v>
      </c>
      <c r="AA18" s="639">
        <f t="shared" ref="AA18" si="23">+AA16-AA17</f>
        <v>0</v>
      </c>
      <c r="AB18" s="500"/>
      <c r="AC18" s="901" t="str">
        <f t="shared" si="13"/>
        <v/>
      </c>
      <c r="AD18" s="901"/>
    </row>
    <row r="19" spans="1:30">
      <c r="B19" s="501" t="s">
        <v>954</v>
      </c>
      <c r="C19" s="912"/>
      <c r="D19" s="912"/>
      <c r="E19" s="912"/>
      <c r="F19" s="912"/>
      <c r="G19" s="912"/>
      <c r="H19" s="912"/>
      <c r="I19" s="913"/>
      <c r="J19" s="913"/>
      <c r="K19" s="913"/>
      <c r="L19" s="913"/>
      <c r="M19" s="639">
        <f>IF(M18&gt;L28,+M18-L28,0)</f>
        <v>0</v>
      </c>
      <c r="N19" s="639">
        <f t="shared" ref="N19:AA19" si="24">IF(N18&gt;M28,+N18-M28,0)</f>
        <v>0</v>
      </c>
      <c r="O19" s="639">
        <f t="shared" si="24"/>
        <v>0</v>
      </c>
      <c r="P19" s="639">
        <f t="shared" si="24"/>
        <v>0</v>
      </c>
      <c r="Q19" s="639">
        <f t="shared" si="24"/>
        <v>0</v>
      </c>
      <c r="R19" s="639">
        <f>IF(R18&gt;Q28,+R18-Q28,0)</f>
        <v>0</v>
      </c>
      <c r="S19" s="639">
        <f t="shared" si="24"/>
        <v>0</v>
      </c>
      <c r="T19" s="639">
        <f t="shared" si="24"/>
        <v>0</v>
      </c>
      <c r="U19" s="639">
        <f t="shared" si="24"/>
        <v>0</v>
      </c>
      <c r="V19" s="639">
        <f t="shared" si="24"/>
        <v>0</v>
      </c>
      <c r="W19" s="639">
        <f t="shared" si="24"/>
        <v>0</v>
      </c>
      <c r="X19" s="639">
        <f t="shared" si="24"/>
        <v>0</v>
      </c>
      <c r="Y19" s="639">
        <f t="shared" si="24"/>
        <v>0</v>
      </c>
      <c r="Z19" s="639">
        <f t="shared" si="24"/>
        <v>0</v>
      </c>
      <c r="AA19" s="639">
        <f t="shared" si="24"/>
        <v>0</v>
      </c>
      <c r="AC19" s="914"/>
      <c r="AD19" s="914"/>
    </row>
    <row r="20" spans="1:30"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648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500"/>
      <c r="AC20" s="901" t="str">
        <f t="shared" si="13"/>
        <v/>
      </c>
      <c r="AD20" s="901"/>
    </row>
    <row r="21" spans="1:30">
      <c r="B21" s="501" t="s">
        <v>955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>
        <v>0</v>
      </c>
      <c r="N21" s="639">
        <v>0</v>
      </c>
      <c r="O21" s="639">
        <v>0</v>
      </c>
      <c r="P21" s="639">
        <v>0</v>
      </c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500"/>
      <c r="AC21" s="901" t="str">
        <f t="shared" si="13"/>
        <v/>
      </c>
      <c r="AD21" s="901"/>
    </row>
    <row r="22" spans="1:30">
      <c r="B22" s="501" t="s">
        <v>956</v>
      </c>
      <c r="C22" s="639"/>
      <c r="D22" s="639"/>
      <c r="E22" s="639"/>
      <c r="F22" s="639"/>
      <c r="G22" s="639"/>
      <c r="H22" s="639"/>
      <c r="I22" s="639"/>
      <c r="J22" s="639"/>
      <c r="K22" s="639"/>
      <c r="L22" s="639"/>
      <c r="M22" s="639">
        <f>IF(M18&gt;L28,+M18+M21,+L28+M21)</f>
        <v>3856463</v>
      </c>
      <c r="N22" s="639">
        <f t="shared" ref="N22:S22" si="25">IF(N18&gt;M28,+N18+N21,+M28+N21)</f>
        <v>3856463</v>
      </c>
      <c r="O22" s="639">
        <f t="shared" si="25"/>
        <v>3856463</v>
      </c>
      <c r="P22" s="639">
        <f t="shared" si="25"/>
        <v>3856463</v>
      </c>
      <c r="Q22" s="639">
        <f t="shared" si="25"/>
        <v>3856463</v>
      </c>
      <c r="R22" s="639">
        <f t="shared" si="25"/>
        <v>3856463</v>
      </c>
      <c r="S22" s="639">
        <f t="shared" si="25"/>
        <v>3856463</v>
      </c>
      <c r="T22" s="637">
        <f t="shared" ref="T22:AA22" si="26">IF(T18&gt;S28,+T18+T21,S28+T21)</f>
        <v>3856463</v>
      </c>
      <c r="U22" s="637">
        <f t="shared" si="26"/>
        <v>3856463</v>
      </c>
      <c r="V22" s="637">
        <f t="shared" si="26"/>
        <v>3856463</v>
      </c>
      <c r="W22" s="637">
        <f t="shared" si="26"/>
        <v>3856463</v>
      </c>
      <c r="X22" s="637">
        <f t="shared" si="26"/>
        <v>3856463</v>
      </c>
      <c r="Y22" s="637">
        <f t="shared" si="26"/>
        <v>3856463</v>
      </c>
      <c r="Z22" s="637">
        <f t="shared" si="26"/>
        <v>3856463</v>
      </c>
      <c r="AA22" s="637">
        <f t="shared" si="26"/>
        <v>3856463</v>
      </c>
      <c r="AB22" s="500"/>
      <c r="AC22" s="901">
        <f t="shared" si="13"/>
        <v>0</v>
      </c>
      <c r="AD22" s="901"/>
    </row>
    <row r="23" spans="1:30">
      <c r="C23" s="648"/>
      <c r="D23" s="648"/>
      <c r="E23" s="648"/>
      <c r="F23" s="648"/>
      <c r="G23" s="648"/>
      <c r="H23" s="648"/>
      <c r="I23" s="648"/>
      <c r="J23" s="648"/>
      <c r="K23" s="648"/>
      <c r="L23" s="648"/>
      <c r="M23" s="648"/>
      <c r="N23" s="648"/>
      <c r="O23" s="649"/>
      <c r="P23" s="649"/>
      <c r="Q23" s="649"/>
      <c r="R23" s="649"/>
      <c r="S23" s="649"/>
      <c r="T23" s="649"/>
      <c r="U23" s="649"/>
      <c r="V23" s="649"/>
      <c r="W23" s="649"/>
      <c r="X23" s="649"/>
      <c r="Y23" s="649"/>
      <c r="Z23" s="649"/>
      <c r="AA23" s="649"/>
      <c r="AB23" s="500"/>
      <c r="AC23" s="901" t="str">
        <f t="shared" si="13"/>
        <v/>
      </c>
      <c r="AD23" s="901"/>
    </row>
    <row r="24" spans="1:30">
      <c r="B24" s="501" t="s">
        <v>957</v>
      </c>
      <c r="C24" s="639"/>
      <c r="D24" s="639"/>
      <c r="E24" s="639"/>
      <c r="F24" s="639"/>
      <c r="G24" s="639"/>
      <c r="H24" s="639"/>
      <c r="I24" s="639"/>
      <c r="J24" s="639"/>
      <c r="K24" s="639"/>
      <c r="L24" s="639"/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C24" s="901" t="str">
        <f t="shared" si="13"/>
        <v/>
      </c>
      <c r="AD24" s="903">
        <v>0</v>
      </c>
    </row>
    <row r="25" spans="1:30" ht="12.75" thickBot="1">
      <c r="B25" s="508" t="s">
        <v>958</v>
      </c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>
        <v>25</v>
      </c>
      <c r="N25" s="641">
        <v>25</v>
      </c>
      <c r="O25" s="710">
        <v>55</v>
      </c>
      <c r="P25" s="710">
        <v>30</v>
      </c>
      <c r="Q25" s="711">
        <v>30</v>
      </c>
      <c r="R25" s="711">
        <v>30</v>
      </c>
      <c r="S25" s="711">
        <v>0</v>
      </c>
      <c r="T25" s="711">
        <v>30</v>
      </c>
      <c r="U25" s="711">
        <v>60</v>
      </c>
      <c r="V25" s="711">
        <v>30</v>
      </c>
      <c r="W25" s="711">
        <f t="shared" ref="W25:AA25" si="27">+V25</f>
        <v>30</v>
      </c>
      <c r="X25" s="711">
        <f t="shared" si="27"/>
        <v>30</v>
      </c>
      <c r="Y25" s="711">
        <f t="shared" si="27"/>
        <v>30</v>
      </c>
      <c r="Z25" s="711">
        <f t="shared" si="27"/>
        <v>30</v>
      </c>
      <c r="AA25" s="711">
        <f t="shared" si="27"/>
        <v>30</v>
      </c>
      <c r="AD25" s="901"/>
    </row>
    <row r="26" spans="1:30" ht="12.75" thickTop="1">
      <c r="B26" s="509" t="s">
        <v>959</v>
      </c>
      <c r="C26" s="640"/>
      <c r="D26" s="640"/>
      <c r="E26" s="640"/>
      <c r="F26" s="640"/>
      <c r="G26" s="640"/>
      <c r="H26" s="640"/>
      <c r="I26" s="640"/>
      <c r="J26" s="640"/>
      <c r="K26" s="640"/>
      <c r="L26" s="640"/>
      <c r="M26" s="640">
        <f>IF((M18-L28)&gt;M24*M25,0,IF((M24*M25)-M19-M21&gt;0,(M24*M25)-M19-M21,0))</f>
        <v>0</v>
      </c>
      <c r="N26" s="640">
        <f t="shared" ref="N26:AA26" si="28">IF((N18-M28)&gt;N24*N25,0,IF((N24*N25)-N19-N21&gt;0,(N24*N25)-N19-N21,0))</f>
        <v>0</v>
      </c>
      <c r="O26" s="640">
        <f t="shared" si="28"/>
        <v>0</v>
      </c>
      <c r="P26" s="640">
        <f t="shared" si="28"/>
        <v>0</v>
      </c>
      <c r="Q26" s="640">
        <f t="shared" si="28"/>
        <v>0</v>
      </c>
      <c r="R26" s="640">
        <f>IF((R18-Q28)&gt;R24*R25,0,IF((R24*R25)-R19-R21&gt;0,(R24*R25)-R19-R21,0))</f>
        <v>0</v>
      </c>
      <c r="S26" s="640">
        <v>0</v>
      </c>
      <c r="T26" s="640">
        <f t="shared" si="28"/>
        <v>0</v>
      </c>
      <c r="U26" s="640">
        <f t="shared" si="28"/>
        <v>0</v>
      </c>
      <c r="V26" s="640">
        <f t="shared" si="28"/>
        <v>0</v>
      </c>
      <c r="W26" s="640">
        <f t="shared" si="28"/>
        <v>0</v>
      </c>
      <c r="X26" s="640">
        <f t="shared" si="28"/>
        <v>0</v>
      </c>
      <c r="Y26" s="640">
        <f t="shared" si="28"/>
        <v>0</v>
      </c>
      <c r="Z26" s="640">
        <f t="shared" si="28"/>
        <v>0</v>
      </c>
      <c r="AA26" s="640">
        <f t="shared" si="28"/>
        <v>0</v>
      </c>
      <c r="AC26" s="901" t="str">
        <f t="shared" si="13"/>
        <v/>
      </c>
      <c r="AD26" s="901"/>
    </row>
    <row r="27" spans="1:30">
      <c r="B27" s="501" t="s">
        <v>960</v>
      </c>
      <c r="C27" s="639"/>
      <c r="D27" s="639"/>
      <c r="E27" s="639"/>
      <c r="F27" s="639"/>
      <c r="G27" s="639"/>
      <c r="H27" s="639"/>
      <c r="I27" s="639"/>
      <c r="J27" s="639"/>
      <c r="K27" s="639"/>
      <c r="L27" s="639"/>
      <c r="M27" s="639">
        <v>0</v>
      </c>
      <c r="N27" s="639">
        <v>0</v>
      </c>
      <c r="O27" s="639">
        <v>0</v>
      </c>
      <c r="P27" s="639">
        <v>0</v>
      </c>
      <c r="Q27" s="639">
        <v>0</v>
      </c>
      <c r="R27" s="638">
        <v>0</v>
      </c>
      <c r="S27" s="638">
        <v>0</v>
      </c>
      <c r="T27" s="638">
        <v>0</v>
      </c>
      <c r="U27" s="638">
        <v>0</v>
      </c>
      <c r="V27" s="638">
        <v>0</v>
      </c>
      <c r="W27" s="638">
        <v>0</v>
      </c>
      <c r="X27" s="638">
        <v>0</v>
      </c>
      <c r="Y27" s="638">
        <v>0</v>
      </c>
      <c r="Z27" s="638">
        <v>0</v>
      </c>
      <c r="AA27" s="638">
        <v>0</v>
      </c>
      <c r="AC27" s="901" t="str">
        <f t="shared" si="13"/>
        <v/>
      </c>
      <c r="AD27" s="901"/>
    </row>
    <row r="28" spans="1:30" ht="12.75" thickBot="1">
      <c r="B28" s="510" t="s">
        <v>961</v>
      </c>
      <c r="C28" s="641"/>
      <c r="D28" s="641"/>
      <c r="E28" s="641"/>
      <c r="F28" s="641"/>
      <c r="G28" s="641"/>
      <c r="H28" s="641"/>
      <c r="I28" s="641"/>
      <c r="J28" s="641"/>
      <c r="K28" s="641"/>
      <c r="L28" s="641">
        <f>+'State Aid'!K7</f>
        <v>3856463</v>
      </c>
      <c r="M28" s="641">
        <f>+M22+M26-M27</f>
        <v>3856463</v>
      </c>
      <c r="N28" s="641">
        <f t="shared" ref="N28:W28" si="29">+N22+N26-N27</f>
        <v>3856463</v>
      </c>
      <c r="O28" s="641">
        <f t="shared" si="29"/>
        <v>3856463</v>
      </c>
      <c r="P28" s="641">
        <f t="shared" si="29"/>
        <v>3856463</v>
      </c>
      <c r="Q28" s="641">
        <f t="shared" si="29"/>
        <v>3856463</v>
      </c>
      <c r="R28" s="641">
        <f>+R22+R26-R27</f>
        <v>3856463</v>
      </c>
      <c r="S28" s="641">
        <f t="shared" si="29"/>
        <v>3856463</v>
      </c>
      <c r="T28" s="641">
        <f t="shared" si="29"/>
        <v>3856463</v>
      </c>
      <c r="U28" s="641">
        <f t="shared" si="29"/>
        <v>3856463</v>
      </c>
      <c r="V28" s="641">
        <f t="shared" si="29"/>
        <v>3856463</v>
      </c>
      <c r="W28" s="641">
        <f t="shared" si="29"/>
        <v>3856463</v>
      </c>
      <c r="X28" s="641">
        <f t="shared" ref="X28:Y28" si="30">+X22+X26-X27</f>
        <v>3856463</v>
      </c>
      <c r="Y28" s="641">
        <f t="shared" si="30"/>
        <v>3856463</v>
      </c>
      <c r="Z28" s="641">
        <f t="shared" ref="Z28:AA28" si="31">+Z22+Z26-Z27</f>
        <v>3856463</v>
      </c>
      <c r="AA28" s="641">
        <f t="shared" si="31"/>
        <v>3856463</v>
      </c>
      <c r="AC28" s="901">
        <f t="shared" si="13"/>
        <v>0</v>
      </c>
      <c r="AD28" s="901"/>
    </row>
    <row r="29" spans="1:30" ht="12.75" thickTop="1">
      <c r="B29" s="509" t="s">
        <v>962</v>
      </c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>
        <f>M17+M28</f>
        <v>3856463</v>
      </c>
      <c r="N29" s="640">
        <f t="shared" ref="N29:W29" si="32">N17+N28</f>
        <v>3856463</v>
      </c>
      <c r="O29" s="640">
        <f t="shared" si="32"/>
        <v>3856463</v>
      </c>
      <c r="P29" s="640">
        <f t="shared" si="32"/>
        <v>3856463</v>
      </c>
      <c r="Q29" s="640">
        <f t="shared" si="32"/>
        <v>3856463</v>
      </c>
      <c r="R29" s="640">
        <f t="shared" si="32"/>
        <v>3856463</v>
      </c>
      <c r="S29" s="640">
        <f t="shared" si="32"/>
        <v>3856463</v>
      </c>
      <c r="T29" s="640">
        <f t="shared" si="32"/>
        <v>3856463</v>
      </c>
      <c r="U29" s="640">
        <f t="shared" si="32"/>
        <v>3856463</v>
      </c>
      <c r="V29" s="640">
        <f t="shared" si="32"/>
        <v>3856463</v>
      </c>
      <c r="W29" s="640">
        <f t="shared" si="32"/>
        <v>3856463</v>
      </c>
      <c r="X29" s="640">
        <f t="shared" ref="X29:Y29" si="33">X17+X28</f>
        <v>3856463</v>
      </c>
      <c r="Y29" s="640">
        <f t="shared" si="33"/>
        <v>3856463</v>
      </c>
      <c r="Z29" s="640">
        <f t="shared" ref="Z29:AA29" si="34">Z17+Z28</f>
        <v>3856463</v>
      </c>
      <c r="AA29" s="640">
        <f t="shared" si="34"/>
        <v>3856463</v>
      </c>
      <c r="AC29" s="901">
        <f t="shared" si="13"/>
        <v>0</v>
      </c>
      <c r="AD29" s="901"/>
    </row>
    <row r="30" spans="1:30"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500"/>
      <c r="P30" s="500"/>
      <c r="AD30" s="901"/>
    </row>
    <row r="31" spans="1:30">
      <c r="B31" s="918" t="s">
        <v>963</v>
      </c>
      <c r="C31" s="497"/>
      <c r="D31" s="497"/>
      <c r="E31" s="497"/>
      <c r="F31" s="497"/>
      <c r="G31" s="497"/>
      <c r="H31" s="497"/>
      <c r="I31" s="498"/>
      <c r="J31" s="498"/>
      <c r="K31" s="498"/>
      <c r="L31" s="498"/>
      <c r="M31" s="498"/>
      <c r="N31" s="498"/>
      <c r="O31" s="500"/>
      <c r="P31" s="500"/>
      <c r="AC31" s="111" t="s">
        <v>212</v>
      </c>
      <c r="AD31" s="914"/>
    </row>
    <row r="32" spans="1:30">
      <c r="A32" s="206" t="s">
        <v>217</v>
      </c>
      <c r="B32" s="501" t="s">
        <v>964</v>
      </c>
      <c r="C32" s="639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8"/>
      <c r="T32" s="638"/>
      <c r="U32" s="638"/>
      <c r="V32" s="638"/>
      <c r="W32" s="638"/>
      <c r="X32" s="638"/>
      <c r="Y32" s="638"/>
      <c r="Z32" s="638"/>
      <c r="AA32" s="638"/>
      <c r="AB32" s="500"/>
      <c r="AC32" s="914" t="str">
        <f t="shared" ref="AC32:AC36" si="35">IFERROR(AVERAGE((N32-M32)/M32,(O32-N32)/N32,(P32-O32)/O32,(Q32-P32)/P32,(R32-Q32)/Q32,(S32-R32)/R32),"")</f>
        <v/>
      </c>
      <c r="AD32" s="59">
        <v>0</v>
      </c>
    </row>
    <row r="33" spans="1:30">
      <c r="B33" s="501" t="s">
        <v>965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C33" s="914" t="str">
        <f t="shared" si="35"/>
        <v/>
      </c>
      <c r="AD33" s="59">
        <v>0</v>
      </c>
    </row>
    <row r="34" spans="1:30">
      <c r="B34" s="501" t="s">
        <v>966</v>
      </c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C34" s="914" t="str">
        <f t="shared" si="35"/>
        <v/>
      </c>
      <c r="AD34" s="59"/>
    </row>
    <row r="35" spans="1:30">
      <c r="A35" s="207" t="s">
        <v>220</v>
      </c>
      <c r="B35" s="526" t="s">
        <v>967</v>
      </c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M35" s="645">
        <f>+M32+M33-M34</f>
        <v>0</v>
      </c>
      <c r="N35" s="645">
        <f t="shared" ref="N35:W35" si="36">+N32+N33-N34</f>
        <v>0</v>
      </c>
      <c r="O35" s="645">
        <f t="shared" si="36"/>
        <v>0</v>
      </c>
      <c r="P35" s="645">
        <f t="shared" si="36"/>
        <v>0</v>
      </c>
      <c r="Q35" s="645">
        <f t="shared" si="36"/>
        <v>0</v>
      </c>
      <c r="R35" s="645">
        <f t="shared" si="36"/>
        <v>0</v>
      </c>
      <c r="S35" s="645">
        <f t="shared" si="36"/>
        <v>0</v>
      </c>
      <c r="T35" s="645">
        <f t="shared" si="36"/>
        <v>0</v>
      </c>
      <c r="U35" s="645">
        <f t="shared" si="36"/>
        <v>0</v>
      </c>
      <c r="V35" s="645">
        <f t="shared" si="36"/>
        <v>0</v>
      </c>
      <c r="W35" s="645">
        <f t="shared" si="36"/>
        <v>0</v>
      </c>
      <c r="X35" s="645">
        <f t="shared" ref="X35:Y35" si="37">+X32+X33-X34</f>
        <v>0</v>
      </c>
      <c r="Y35" s="645">
        <f t="shared" si="37"/>
        <v>0</v>
      </c>
      <c r="Z35" s="645">
        <f t="shared" ref="Z35:AA35" si="38">+Z32+Z33-Z34</f>
        <v>0</v>
      </c>
      <c r="AA35" s="645">
        <f t="shared" si="38"/>
        <v>0</v>
      </c>
      <c r="AC35" s="914" t="str">
        <f t="shared" si="35"/>
        <v/>
      </c>
      <c r="AD35" s="49"/>
    </row>
    <row r="36" spans="1:30" s="922" customFormat="1">
      <c r="A36" s="919"/>
      <c r="B36" s="511" t="s">
        <v>968</v>
      </c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>
        <f t="shared" ref="M36:W36" si="39">IF(M35&gt;0,M35-M29,0)</f>
        <v>0</v>
      </c>
      <c r="N36" s="642">
        <f t="shared" si="39"/>
        <v>0</v>
      </c>
      <c r="O36" s="642">
        <f t="shared" si="39"/>
        <v>0</v>
      </c>
      <c r="P36" s="642">
        <f t="shared" si="39"/>
        <v>0</v>
      </c>
      <c r="Q36" s="642">
        <f t="shared" si="39"/>
        <v>0</v>
      </c>
      <c r="R36" s="642">
        <f t="shared" si="39"/>
        <v>0</v>
      </c>
      <c r="S36" s="642">
        <f t="shared" si="39"/>
        <v>0</v>
      </c>
      <c r="T36" s="642">
        <f t="shared" si="39"/>
        <v>0</v>
      </c>
      <c r="U36" s="642">
        <f t="shared" si="39"/>
        <v>0</v>
      </c>
      <c r="V36" s="642">
        <f t="shared" si="39"/>
        <v>0</v>
      </c>
      <c r="W36" s="642">
        <f t="shared" si="39"/>
        <v>0</v>
      </c>
      <c r="X36" s="642">
        <f t="shared" ref="X36:Y36" si="40">IF(X35&gt;0,X35-X29,0)</f>
        <v>0</v>
      </c>
      <c r="Y36" s="642">
        <f t="shared" si="40"/>
        <v>0</v>
      </c>
      <c r="Z36" s="642">
        <f t="shared" ref="Z36:AA36" si="41">IF(Z35&gt;0,Z35-Z29,0)</f>
        <v>0</v>
      </c>
      <c r="AA36" s="642">
        <f t="shared" si="41"/>
        <v>0</v>
      </c>
      <c r="AB36" s="920"/>
      <c r="AC36" s="921" t="str">
        <f t="shared" si="35"/>
        <v/>
      </c>
      <c r="AD36" s="921"/>
    </row>
    <row r="37" spans="1:30" s="4" customFormat="1">
      <c r="A37" s="221"/>
      <c r="B37" s="231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683"/>
      <c r="AD37" s="916"/>
    </row>
    <row r="38" spans="1:30" s="496" customFormat="1">
      <c r="A38" s="206"/>
      <c r="B38" s="4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8"/>
      <c r="AC38" s="914"/>
      <c r="AD38" s="916"/>
    </row>
    <row r="39" spans="1:30" s="206" customFormat="1" ht="11.25" customHeight="1">
      <c r="A39" s="382" t="s">
        <v>142</v>
      </c>
      <c r="B39" s="1036" t="s">
        <v>969</v>
      </c>
      <c r="C39" s="923"/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  <c r="O39" s="924"/>
      <c r="P39" s="924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924"/>
      <c r="AC39" s="904"/>
      <c r="AD39" s="901"/>
    </row>
    <row r="40" spans="1:30" s="206" customFormat="1" ht="11.25" customHeight="1">
      <c r="A40" s="382"/>
      <c r="B40" s="1028"/>
      <c r="C40" s="923"/>
      <c r="D40" s="923"/>
      <c r="E40" s="923"/>
      <c r="F40" s="923"/>
      <c r="G40" s="923"/>
      <c r="H40" s="923"/>
      <c r="I40" s="923"/>
      <c r="J40" s="923"/>
      <c r="K40" s="923"/>
      <c r="L40" s="923"/>
      <c r="M40" s="923"/>
      <c r="N40" s="923"/>
      <c r="O40" s="924"/>
      <c r="P40" s="924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924"/>
      <c r="AC40" s="904"/>
      <c r="AD40" s="901"/>
    </row>
    <row r="41" spans="1:30" s="206" customFormat="1" ht="11.25">
      <c r="A41" s="382"/>
      <c r="B41" s="1028"/>
      <c r="C41" s="923"/>
      <c r="D41" s="923"/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4"/>
      <c r="P41" s="924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924"/>
      <c r="AC41" s="904"/>
      <c r="AD41" s="901"/>
    </row>
    <row r="42" spans="1:30" s="206" customFormat="1" ht="11.25">
      <c r="A42" s="382"/>
      <c r="B42" s="910" t="s">
        <v>970</v>
      </c>
      <c r="C42" s="923"/>
      <c r="D42" s="923"/>
      <c r="E42" s="923"/>
      <c r="F42" s="923"/>
      <c r="G42" s="923"/>
      <c r="H42" s="923"/>
      <c r="I42" s="923"/>
      <c r="J42" s="923"/>
      <c r="K42" s="923"/>
      <c r="L42" s="923"/>
      <c r="M42" s="923"/>
      <c r="N42" s="923"/>
      <c r="O42" s="924"/>
      <c r="P42" s="924"/>
      <c r="Q42" s="925"/>
      <c r="R42" s="925"/>
      <c r="S42" s="925"/>
      <c r="T42" s="925"/>
      <c r="U42" s="925"/>
      <c r="V42" s="925"/>
      <c r="W42" s="925"/>
      <c r="X42" s="925"/>
      <c r="Y42" s="925"/>
      <c r="Z42" s="925"/>
      <c r="AA42" s="925"/>
      <c r="AB42" s="924"/>
      <c r="AC42" s="904"/>
      <c r="AD42" s="901"/>
    </row>
    <row r="43" spans="1:30" s="382" customFormat="1" ht="11.25">
      <c r="A43" s="382" t="s">
        <v>217</v>
      </c>
      <c r="B43" s="926" t="s">
        <v>971</v>
      </c>
      <c r="C43" s="923"/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  <c r="O43" s="924"/>
      <c r="P43" s="924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904"/>
      <c r="AD43" s="904"/>
    </row>
    <row r="44" spans="1:30" s="382" customFormat="1" ht="11.25">
      <c r="A44" s="207" t="s">
        <v>220</v>
      </c>
      <c r="B44" s="926" t="s">
        <v>971</v>
      </c>
      <c r="C44" s="923"/>
      <c r="D44" s="923"/>
      <c r="E44" s="923"/>
      <c r="F44" s="923"/>
      <c r="G44" s="923"/>
      <c r="H44" s="923"/>
      <c r="I44" s="923"/>
      <c r="J44" s="923"/>
      <c r="K44" s="923"/>
      <c r="L44" s="923"/>
      <c r="M44" s="923"/>
      <c r="N44" s="923"/>
      <c r="O44" s="923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221"/>
      <c r="AC44" s="901"/>
      <c r="AD44" s="904"/>
    </row>
    <row r="45" spans="1:30" s="32" customFormat="1">
      <c r="A45" s="383"/>
      <c r="B45" s="928" t="s">
        <v>972</v>
      </c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3"/>
      <c r="P45" s="493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98"/>
      <c r="AC45" s="916"/>
      <c r="AD45" s="916"/>
    </row>
    <row r="46" spans="1:30">
      <c r="Q46" s="524"/>
      <c r="R46" s="524"/>
      <c r="S46" s="524"/>
      <c r="T46" s="524"/>
      <c r="U46" s="524"/>
      <c r="V46" s="524"/>
      <c r="W46" s="524"/>
      <c r="X46" s="524"/>
      <c r="Y46" s="524"/>
      <c r="Z46" s="524"/>
      <c r="AA46" s="524"/>
      <c r="AC46" s="916"/>
      <c r="AD46" s="916"/>
    </row>
    <row r="47" spans="1:30">
      <c r="Q47" s="524"/>
      <c r="R47" s="524"/>
      <c r="S47" s="524"/>
      <c r="T47" s="524"/>
      <c r="U47" s="524"/>
      <c r="V47" s="524"/>
      <c r="W47" s="524"/>
      <c r="X47" s="524"/>
      <c r="Y47" s="524"/>
      <c r="Z47" s="524"/>
      <c r="AA47" s="524"/>
      <c r="AC47" s="916"/>
      <c r="AD47" s="916"/>
    </row>
    <row r="48" spans="1:30"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C48" s="916"/>
      <c r="AD48" s="916"/>
    </row>
    <row r="49" spans="1:30" s="512" customFormat="1">
      <c r="A49" s="382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3"/>
      <c r="P49" s="493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916"/>
      <c r="AD49" s="916"/>
    </row>
    <row r="50" spans="1:30" s="490" customFormat="1">
      <c r="A50" s="206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914"/>
      <c r="AD50" s="914"/>
    </row>
    <row r="51" spans="1:30" s="490" customFormat="1">
      <c r="A51" s="206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914"/>
      <c r="AD51" s="914"/>
    </row>
    <row r="52" spans="1:30">
      <c r="AC52" s="914"/>
      <c r="AD52" s="49"/>
    </row>
    <row r="53" spans="1:30">
      <c r="AC53" s="914"/>
      <c r="AD53" s="49"/>
    </row>
    <row r="54" spans="1:30">
      <c r="AC54" s="914"/>
      <c r="AD54" s="49"/>
    </row>
    <row r="55" spans="1:30">
      <c r="AC55" s="914"/>
      <c r="AD55" s="49"/>
    </row>
    <row r="56" spans="1:30">
      <c r="B56" s="530"/>
      <c r="AC56" s="914"/>
      <c r="AD56" s="49"/>
    </row>
    <row r="57" spans="1:30">
      <c r="AC57" s="914"/>
      <c r="AD57" s="49"/>
    </row>
    <row r="58" spans="1:30">
      <c r="AC58" s="914"/>
      <c r="AD58" s="49"/>
    </row>
  </sheetData>
  <mergeCells count="1">
    <mergeCell ref="B39:B41"/>
  </mergeCells>
  <phoneticPr fontId="40" type="noConversion"/>
  <hyperlinks>
    <hyperlink ref="B42" r:id="rId1" xr:uid="{45742E12-99E3-425E-A09A-05B1A45B06EC}"/>
    <hyperlink ref="B45" r:id="rId2" xr:uid="{D2750D1E-2DE4-4B10-9D70-AEC854FFADC2}"/>
  </hyperlinks>
  <pageMargins left="0.2" right="0.2" top="0.5" bottom="0.5" header="0.3" footer="0.3"/>
  <pageSetup fitToHeight="2" orientation="landscape" r:id="rId3"/>
  <headerFooter>
    <oddFooter>&amp;L&amp;9&amp;A&amp;C&amp;10page &amp;P of &amp;N&amp;R&amp;9&amp;D</oddFooter>
  </headerFooter>
  <ignoredErrors>
    <ignoredError sqref="Q20 Q23:U23 T21:U22 M36:W36 W7 T16:W18 S20:W20 W10:W13 R15:W15 R8:W9 R30:W30 V21:W23 AB6:AC36 X6:X36 Y6:Y36 W6 Z6:Z23 Z25:Z26 Z28:Z29 Z36 AA6:AA23 AA25:AA26 AA28:AA37 W25" unlockedFormula="1"/>
  </ignoredErrors>
  <drawing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2:Q68"/>
  <sheetViews>
    <sheetView showGridLines="0" topLeftCell="A4" zoomScaleNormal="100" zoomScaleSheetLayoutView="100" workbookViewId="0">
      <selection activeCell="D15" sqref="D15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9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9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ref="I10:I13" si="3">G10+H10</f>
        <v>0</v>
      </c>
      <c r="J10" s="534" t="str">
        <f t="shared" ref="J10:J11" si="4">IFERROR((I10-I9)/I9,"")</f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3"/>
        <v>0</v>
      </c>
      <c r="J11" s="534" t="str">
        <f t="shared" si="4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ref="G12" si="5">SUM(D12:F12)</f>
        <v>0</v>
      </c>
      <c r="H12" s="24">
        <v>0</v>
      </c>
      <c r="I12" s="24">
        <f t="shared" ref="I12" si="6">G12+H12</f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3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7">SUM(D14:F14)</f>
        <v>0</v>
      </c>
      <c r="H14" s="24">
        <v>0</v>
      </c>
      <c r="I14" s="24">
        <f t="shared" ref="I14" si="8">G14+H14</f>
        <v>0</v>
      </c>
      <c r="J14" s="534" t="str">
        <f t="shared" ref="J14" si="9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10">+D14-D9</f>
        <v>0</v>
      </c>
      <c r="E15" s="720">
        <f t="shared" si="10"/>
        <v>0</v>
      </c>
      <c r="F15" s="720">
        <f t="shared" si="10"/>
        <v>0</v>
      </c>
      <c r="G15" s="720">
        <f t="shared" si="10"/>
        <v>0</v>
      </c>
      <c r="H15" s="720">
        <f t="shared" si="10"/>
        <v>0</v>
      </c>
      <c r="I15" s="720">
        <f t="shared" si="10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11">D19+E19</f>
        <v>0</v>
      </c>
      <c r="G19" s="24">
        <v>0</v>
      </c>
      <c r="H19" s="537" t="str">
        <f t="shared" ref="H19:H22" si="12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11"/>
        <v>0</v>
      </c>
      <c r="G20" s="24">
        <v>0</v>
      </c>
      <c r="H20" s="537" t="str">
        <f t="shared" si="12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11"/>
        <v>0</v>
      </c>
      <c r="G21" s="24">
        <v>0</v>
      </c>
      <c r="H21" s="537" t="str">
        <f t="shared" si="12"/>
        <v/>
      </c>
      <c r="I21" s="946">
        <f t="shared" ref="I21:I22" si="13">IFERROR((D21-D20)/D20,0)</f>
        <v>0</v>
      </c>
      <c r="J21" s="946">
        <f t="shared" ref="J21:J28" si="14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11"/>
        <v>0</v>
      </c>
      <c r="G22" s="24">
        <v>0</v>
      </c>
      <c r="H22" s="537" t="str">
        <f t="shared" si="12"/>
        <v/>
      </c>
      <c r="I22" s="946">
        <f t="shared" si="13"/>
        <v>0</v>
      </c>
      <c r="J22" s="946">
        <f t="shared" si="14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11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14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11"/>
        <v>0</v>
      </c>
      <c r="G24" s="24">
        <v>0</v>
      </c>
      <c r="H24" s="537" t="str">
        <f t="shared" ref="H24:H28" si="15">IFERROR(((G24-F24)/F24),"")</f>
        <v/>
      </c>
      <c r="I24" s="946">
        <f t="shared" ref="I24:I28" si="16">IFERROR((D24-D23)/D23,0)</f>
        <v>0</v>
      </c>
      <c r="J24" s="946">
        <f t="shared" si="14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11"/>
        <v>0</v>
      </c>
      <c r="G25" s="24">
        <v>0</v>
      </c>
      <c r="H25" s="537" t="str">
        <f t="shared" si="15"/>
        <v/>
      </c>
      <c r="I25" s="946">
        <f>IFERROR((D25-D24)/D24,0)</f>
        <v>0</v>
      </c>
      <c r="J25" s="946">
        <f t="shared" si="14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11"/>
        <v>0</v>
      </c>
      <c r="G26" s="24">
        <v>0</v>
      </c>
      <c r="H26" s="537" t="str">
        <f t="shared" si="15"/>
        <v/>
      </c>
      <c r="I26" s="946">
        <f t="shared" si="16"/>
        <v>0</v>
      </c>
      <c r="J26" s="946">
        <f t="shared" si="14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11"/>
        <v>0</v>
      </c>
      <c r="G27" s="24">
        <v>0</v>
      </c>
      <c r="H27" s="537" t="str">
        <f t="shared" si="15"/>
        <v/>
      </c>
      <c r="I27" s="946">
        <f t="shared" si="16"/>
        <v>0</v>
      </c>
      <c r="J27" s="946">
        <f t="shared" si="14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11"/>
        <v>0</v>
      </c>
      <c r="G28" s="24">
        <v>0</v>
      </c>
      <c r="H28" s="537" t="str">
        <f t="shared" si="15"/>
        <v/>
      </c>
      <c r="I28" s="946">
        <f t="shared" si="16"/>
        <v>0</v>
      </c>
      <c r="J28" s="946">
        <f t="shared" si="14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7">+D28-D23</f>
        <v>0</v>
      </c>
      <c r="E29" s="720">
        <f t="shared" si="17"/>
        <v>0</v>
      </c>
      <c r="F29" s="720">
        <f t="shared" si="17"/>
        <v>0</v>
      </c>
      <c r="G29" s="720">
        <f t="shared" si="17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8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8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8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8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8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8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8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8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9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9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8:I68"/>
    <mergeCell ref="B65:O65"/>
    <mergeCell ref="B66:Q66"/>
    <mergeCell ref="B67:N67"/>
    <mergeCell ref="B2:J2"/>
    <mergeCell ref="B3:J3"/>
    <mergeCell ref="B17:J17"/>
    <mergeCell ref="C32:I32"/>
    <mergeCell ref="B64:O64"/>
  </mergeCells>
  <phoneticPr fontId="40" type="noConversion"/>
  <hyperlinks>
    <hyperlink ref="B65" r:id="rId1" xr:uid="{7B112BBF-E366-45B7-AA9B-CE750E44208C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13:G14 G5:G11 I34:I43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F32"/>
  <sheetViews>
    <sheetView zoomScaleNormal="100" workbookViewId="0">
      <pane ySplit="2" topLeftCell="A3" activePane="bottomLeft" state="frozen"/>
      <selection pane="bottomLeft" activeCell="A3" sqref="A3:D5"/>
    </sheetView>
  </sheetViews>
  <sheetFormatPr defaultColWidth="8.75" defaultRowHeight="15"/>
  <cols>
    <col min="1" max="1" width="8.75" style="666"/>
    <col min="2" max="2" width="12.125" style="665" customWidth="1"/>
    <col min="3" max="3" width="56.125" style="665" customWidth="1"/>
    <col min="4" max="4" width="10.75" style="665" customWidth="1"/>
    <col min="5" max="5" width="8.75" style="665"/>
    <col min="6" max="6" width="40" style="665" customWidth="1"/>
    <col min="7" max="7" width="22.75" style="665" customWidth="1"/>
    <col min="8" max="16384" width="8.75" style="665"/>
  </cols>
  <sheetData>
    <row r="1" spans="1:6" ht="21.75" customHeight="1">
      <c r="A1" s="1024" t="s">
        <v>74</v>
      </c>
      <c r="B1" s="1025"/>
      <c r="C1" s="1025"/>
      <c r="D1" s="1026"/>
      <c r="E1" s="1003"/>
      <c r="F1" s="1003"/>
    </row>
    <row r="2" spans="1:6" ht="30.75" customHeight="1">
      <c r="A2" s="871" t="s">
        <v>75</v>
      </c>
      <c r="B2" s="870" t="s">
        <v>76</v>
      </c>
      <c r="C2" s="870" t="s">
        <v>77</v>
      </c>
      <c r="D2" s="872" t="s">
        <v>78</v>
      </c>
      <c r="E2" s="1003"/>
      <c r="F2" s="679" t="s">
        <v>79</v>
      </c>
    </row>
    <row r="3" spans="1:6">
      <c r="A3" s="1004"/>
      <c r="B3" s="1005"/>
      <c r="C3" s="1005"/>
      <c r="D3" s="1006"/>
      <c r="E3" s="1003"/>
      <c r="F3" s="1007"/>
    </row>
    <row r="4" spans="1:6">
      <c r="A4" s="1004"/>
      <c r="B4" s="1005"/>
      <c r="C4" s="1005"/>
      <c r="D4" s="1006"/>
      <c r="E4" s="1003"/>
      <c r="F4" s="1003"/>
    </row>
    <row r="5" spans="1:6">
      <c r="A5" s="1004"/>
      <c r="B5" s="1005"/>
      <c r="C5" s="1005"/>
      <c r="D5" s="1006"/>
      <c r="E5" s="1003"/>
      <c r="F5" s="1003"/>
    </row>
    <row r="6" spans="1:6">
      <c r="A6" s="1004"/>
      <c r="B6" s="1005"/>
      <c r="C6" s="1005"/>
      <c r="D6" s="1006"/>
      <c r="E6" s="1003"/>
      <c r="F6" s="1003"/>
    </row>
    <row r="7" spans="1:6">
      <c r="A7" s="1004"/>
      <c r="B7" s="1005"/>
      <c r="C7" s="1005"/>
      <c r="D7" s="1006"/>
      <c r="E7" s="1003"/>
      <c r="F7" s="1003"/>
    </row>
    <row r="8" spans="1:6">
      <c r="A8" s="1004"/>
      <c r="B8" s="1005"/>
      <c r="C8" s="1005"/>
      <c r="D8" s="1006"/>
      <c r="E8" s="1003"/>
      <c r="F8" s="1003"/>
    </row>
    <row r="9" spans="1:6">
      <c r="A9" s="1004"/>
      <c r="B9" s="1005"/>
      <c r="C9" s="1005"/>
      <c r="D9" s="1006"/>
      <c r="E9" s="1003"/>
      <c r="F9" s="1003"/>
    </row>
    <row r="10" spans="1:6">
      <c r="A10" s="1004"/>
      <c r="B10" s="1005"/>
      <c r="C10" s="1005"/>
      <c r="D10" s="1006"/>
      <c r="E10" s="1003"/>
      <c r="F10" s="1003"/>
    </row>
    <row r="11" spans="1:6">
      <c r="A11" s="1004"/>
      <c r="B11" s="1005"/>
      <c r="C11" s="1005"/>
      <c r="D11" s="1006"/>
      <c r="E11" s="1003"/>
      <c r="F11" s="1003"/>
    </row>
    <row r="12" spans="1:6">
      <c r="A12" s="1004"/>
      <c r="B12" s="1005"/>
      <c r="C12" s="1005"/>
      <c r="D12" s="1006"/>
      <c r="E12" s="1003"/>
      <c r="F12" s="1003"/>
    </row>
    <row r="13" spans="1:6">
      <c r="A13" s="1004"/>
      <c r="B13" s="1005"/>
      <c r="C13" s="1005"/>
      <c r="D13" s="1006"/>
      <c r="E13" s="1003"/>
      <c r="F13" s="1003"/>
    </row>
    <row r="14" spans="1:6">
      <c r="A14" s="1004"/>
      <c r="B14" s="1005"/>
      <c r="C14" s="1005"/>
      <c r="D14" s="1006"/>
      <c r="E14" s="1003"/>
      <c r="F14" s="1003"/>
    </row>
    <row r="15" spans="1:6">
      <c r="A15" s="1004"/>
      <c r="B15" s="1005"/>
      <c r="C15" s="1005"/>
      <c r="D15" s="1006"/>
      <c r="E15" s="1003"/>
      <c r="F15" s="1003"/>
    </row>
    <row r="16" spans="1:6">
      <c r="A16" s="1004"/>
      <c r="B16" s="1005"/>
      <c r="C16" s="1005"/>
      <c r="D16" s="1006"/>
      <c r="E16" s="1003"/>
      <c r="F16" s="1003"/>
    </row>
    <row r="17" spans="1:4">
      <c r="A17" s="1004"/>
      <c r="B17" s="1005"/>
      <c r="C17" s="1005"/>
      <c r="D17" s="1006"/>
    </row>
    <row r="18" spans="1:4">
      <c r="A18" s="1004"/>
      <c r="B18" s="1005"/>
      <c r="C18" s="1005"/>
      <c r="D18" s="1006"/>
    </row>
    <row r="19" spans="1:4">
      <c r="A19" s="1004"/>
      <c r="B19" s="1005"/>
      <c r="C19" s="1005"/>
      <c r="D19" s="1006"/>
    </row>
    <row r="20" spans="1:4">
      <c r="A20" s="1004"/>
      <c r="B20" s="1005"/>
      <c r="C20" s="1005"/>
      <c r="D20" s="1006"/>
    </row>
    <row r="21" spans="1:4">
      <c r="A21" s="1004"/>
      <c r="B21" s="1005"/>
      <c r="C21" s="1005"/>
      <c r="D21" s="1006"/>
    </row>
    <row r="22" spans="1:4">
      <c r="A22" s="1004"/>
      <c r="B22" s="1005"/>
      <c r="C22" s="1005"/>
      <c r="D22" s="1006"/>
    </row>
    <row r="23" spans="1:4">
      <c r="A23" s="1004"/>
      <c r="B23" s="1005"/>
      <c r="C23" s="1005"/>
      <c r="D23" s="1006"/>
    </row>
    <row r="24" spans="1:4">
      <c r="A24" s="1004"/>
      <c r="B24" s="1005"/>
      <c r="C24" s="1005"/>
      <c r="D24" s="1006"/>
    </row>
    <row r="25" spans="1:4">
      <c r="A25" s="1004"/>
      <c r="B25" s="1005"/>
      <c r="C25" s="1005"/>
      <c r="D25" s="1006"/>
    </row>
    <row r="26" spans="1:4">
      <c r="A26" s="1004"/>
      <c r="B26" s="1005"/>
      <c r="C26" s="1005"/>
      <c r="D26" s="1006"/>
    </row>
    <row r="27" spans="1:4">
      <c r="A27" s="1004"/>
      <c r="B27" s="1005"/>
      <c r="C27" s="1005"/>
      <c r="D27" s="1006"/>
    </row>
    <row r="28" spans="1:4">
      <c r="A28" s="1004"/>
      <c r="B28" s="1005"/>
      <c r="C28" s="1005"/>
      <c r="D28" s="1006"/>
    </row>
    <row r="29" spans="1:4">
      <c r="A29" s="1004"/>
      <c r="B29" s="1005"/>
      <c r="C29" s="1005"/>
      <c r="D29" s="1006"/>
    </row>
    <row r="30" spans="1:4">
      <c r="A30" s="1004"/>
      <c r="B30" s="1005"/>
      <c r="C30" s="1005"/>
      <c r="D30" s="1006"/>
    </row>
    <row r="31" spans="1:4">
      <c r="A31" s="1004"/>
      <c r="B31" s="1005"/>
      <c r="C31" s="1005"/>
      <c r="D31" s="1006"/>
    </row>
    <row r="32" spans="1:4" ht="15.75" thickBot="1">
      <c r="A32" s="1008"/>
      <c r="B32" s="1009"/>
      <c r="C32" s="1009"/>
      <c r="D32" s="1010"/>
    </row>
  </sheetData>
  <mergeCells count="1">
    <mergeCell ref="A1:D1"/>
  </mergeCells>
  <printOptions horizontalCentered="1"/>
  <pageMargins left="0.25" right="0.25" top="0.5" bottom="0.5" header="0.3" footer="0.3"/>
  <pageSetup orientation="portrait" r:id="rId1"/>
  <headerFooter>
    <oddFooter>&amp;L&amp;9&amp;A&amp;C&amp;10page &amp;P of &amp;N&amp;R&amp;9&amp;D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F338-A04B-4479-A1D5-0CC9F9E9291E}">
  <sheetPr>
    <tabColor theme="6" tint="0.59999389629810485"/>
  </sheetPr>
  <dimension ref="A2:Q68"/>
  <sheetViews>
    <sheetView showGridLines="0" zoomScaleNormal="100" zoomScaleSheetLayoutView="100" workbookViewId="0">
      <selection activeCell="K19" sqref="K19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14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11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si="1"/>
        <v>0</v>
      </c>
      <c r="J10" s="534" t="str">
        <f t="shared" si="2"/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1"/>
        <v>0</v>
      </c>
      <c r="J11" s="534" t="str">
        <f t="shared" si="2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  <c r="H12" s="24">
        <v>0</v>
      </c>
      <c r="I12" s="24">
        <f t="shared" si="1"/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1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3">SUM(D14:F14)</f>
        <v>0</v>
      </c>
      <c r="H14" s="24">
        <v>0</v>
      </c>
      <c r="I14" s="24">
        <f t="shared" si="1"/>
        <v>0</v>
      </c>
      <c r="J14" s="534" t="str">
        <f t="shared" ref="J14" si="4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5">+D14-D9</f>
        <v>0</v>
      </c>
      <c r="E15" s="720">
        <f t="shared" si="5"/>
        <v>0</v>
      </c>
      <c r="F15" s="720">
        <f t="shared" si="5"/>
        <v>0</v>
      </c>
      <c r="G15" s="720">
        <f t="shared" si="5"/>
        <v>0</v>
      </c>
      <c r="H15" s="720">
        <f t="shared" si="5"/>
        <v>0</v>
      </c>
      <c r="I15" s="720">
        <f t="shared" si="5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6">D19+E19</f>
        <v>0</v>
      </c>
      <c r="G19" s="24">
        <v>0</v>
      </c>
      <c r="H19" s="537" t="str">
        <f t="shared" ref="H19:H22" si="7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6"/>
        <v>0</v>
      </c>
      <c r="G20" s="24">
        <v>0</v>
      </c>
      <c r="H20" s="537" t="str">
        <f t="shared" si="7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6"/>
        <v>0</v>
      </c>
      <c r="G21" s="24">
        <v>0</v>
      </c>
      <c r="H21" s="537" t="str">
        <f t="shared" si="7"/>
        <v/>
      </c>
      <c r="I21" s="946">
        <f t="shared" ref="I21:I22" si="8">IFERROR((D21-D20)/D20,0)</f>
        <v>0</v>
      </c>
      <c r="J21" s="946">
        <f t="shared" ref="J21:J28" si="9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6"/>
        <v>0</v>
      </c>
      <c r="G22" s="24">
        <v>0</v>
      </c>
      <c r="H22" s="537" t="str">
        <f t="shared" si="7"/>
        <v/>
      </c>
      <c r="I22" s="946">
        <f t="shared" si="8"/>
        <v>0</v>
      </c>
      <c r="J22" s="946">
        <f t="shared" si="9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6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9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6"/>
        <v>0</v>
      </c>
      <c r="G24" s="24">
        <v>0</v>
      </c>
      <c r="H24" s="537" t="str">
        <f t="shared" ref="H24:H28" si="10">IFERROR(((G24-F24)/F24),"")</f>
        <v/>
      </c>
      <c r="I24" s="946">
        <f t="shared" ref="I24:I28" si="11">IFERROR((D24-D23)/D23,0)</f>
        <v>0</v>
      </c>
      <c r="J24" s="946">
        <f t="shared" si="9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6"/>
        <v>0</v>
      </c>
      <c r="G25" s="24">
        <v>0</v>
      </c>
      <c r="H25" s="537" t="str">
        <f t="shared" si="10"/>
        <v/>
      </c>
      <c r="I25" s="946">
        <f>IFERROR((D25-D24)/D24,0)</f>
        <v>0</v>
      </c>
      <c r="J25" s="946">
        <f t="shared" si="9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6"/>
        <v>0</v>
      </c>
      <c r="G26" s="24">
        <v>0</v>
      </c>
      <c r="H26" s="537" t="str">
        <f t="shared" si="10"/>
        <v/>
      </c>
      <c r="I26" s="946">
        <f t="shared" si="11"/>
        <v>0</v>
      </c>
      <c r="J26" s="946">
        <f t="shared" si="9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6"/>
        <v>0</v>
      </c>
      <c r="G27" s="24">
        <v>0</v>
      </c>
      <c r="H27" s="537" t="str">
        <f t="shared" si="10"/>
        <v/>
      </c>
      <c r="I27" s="946">
        <f t="shared" si="11"/>
        <v>0</v>
      </c>
      <c r="J27" s="946">
        <f t="shared" si="9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6"/>
        <v>0</v>
      </c>
      <c r="G28" s="24">
        <v>0</v>
      </c>
      <c r="H28" s="537" t="str">
        <f t="shared" si="10"/>
        <v/>
      </c>
      <c r="I28" s="946">
        <f t="shared" si="11"/>
        <v>0</v>
      </c>
      <c r="J28" s="946">
        <f t="shared" si="9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2">+D28-D23</f>
        <v>0</v>
      </c>
      <c r="E29" s="720">
        <f t="shared" si="12"/>
        <v>0</v>
      </c>
      <c r="F29" s="720">
        <f t="shared" si="12"/>
        <v>0</v>
      </c>
      <c r="G29" s="720">
        <f t="shared" si="12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3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3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3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3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3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3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3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3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4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4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6:Q66"/>
    <mergeCell ref="B67:N67"/>
    <mergeCell ref="B68:I68"/>
    <mergeCell ref="B2:J2"/>
    <mergeCell ref="B3:J3"/>
    <mergeCell ref="B17:J17"/>
    <mergeCell ref="C32:I32"/>
    <mergeCell ref="B64:O64"/>
    <mergeCell ref="B65:O65"/>
  </mergeCells>
  <hyperlinks>
    <hyperlink ref="B65" r:id="rId1" xr:uid="{59A369D5-6689-4D0C-B3F3-7DD509B35DA2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5:G14" formulaRange="1"/>
  </ignoredError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E6E6-4569-4CDA-8B74-F6A33C0F5842}">
  <sheetPr>
    <tabColor theme="6" tint="0.59999389629810485"/>
  </sheetPr>
  <dimension ref="A2:Q68"/>
  <sheetViews>
    <sheetView showGridLines="0" topLeftCell="A7" zoomScaleNormal="100" zoomScaleSheetLayoutView="100" workbookViewId="0">
      <selection activeCell="M29" sqref="M29:M30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14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11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si="1"/>
        <v>0</v>
      </c>
      <c r="J10" s="534" t="str">
        <f t="shared" si="2"/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1"/>
        <v>0</v>
      </c>
      <c r="J11" s="534" t="str">
        <f t="shared" si="2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  <c r="H12" s="24">
        <v>0</v>
      </c>
      <c r="I12" s="24">
        <f t="shared" si="1"/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1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3">SUM(D14:F14)</f>
        <v>0</v>
      </c>
      <c r="H14" s="24">
        <v>0</v>
      </c>
      <c r="I14" s="24">
        <f t="shared" si="1"/>
        <v>0</v>
      </c>
      <c r="J14" s="534" t="str">
        <f t="shared" ref="J14" si="4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5">+D14-D9</f>
        <v>0</v>
      </c>
      <c r="E15" s="720">
        <f t="shared" si="5"/>
        <v>0</v>
      </c>
      <c r="F15" s="720">
        <f t="shared" si="5"/>
        <v>0</v>
      </c>
      <c r="G15" s="720">
        <f t="shared" si="5"/>
        <v>0</v>
      </c>
      <c r="H15" s="720">
        <f t="shared" si="5"/>
        <v>0</v>
      </c>
      <c r="I15" s="720">
        <f t="shared" si="5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6">D19+E19</f>
        <v>0</v>
      </c>
      <c r="G19" s="24">
        <v>0</v>
      </c>
      <c r="H19" s="537" t="str">
        <f t="shared" ref="H19:H22" si="7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6"/>
        <v>0</v>
      </c>
      <c r="G20" s="24">
        <v>0</v>
      </c>
      <c r="H20" s="537" t="str">
        <f t="shared" si="7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6"/>
        <v>0</v>
      </c>
      <c r="G21" s="24">
        <v>0</v>
      </c>
      <c r="H21" s="537" t="str">
        <f t="shared" si="7"/>
        <v/>
      </c>
      <c r="I21" s="946">
        <f t="shared" ref="I21:I22" si="8">IFERROR((D21-D20)/D20,0)</f>
        <v>0</v>
      </c>
      <c r="J21" s="946">
        <f t="shared" ref="J21:J28" si="9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6"/>
        <v>0</v>
      </c>
      <c r="G22" s="24">
        <v>0</v>
      </c>
      <c r="H22" s="537" t="str">
        <f t="shared" si="7"/>
        <v/>
      </c>
      <c r="I22" s="946">
        <f t="shared" si="8"/>
        <v>0</v>
      </c>
      <c r="J22" s="946">
        <f t="shared" si="9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6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9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6"/>
        <v>0</v>
      </c>
      <c r="G24" s="24">
        <v>0</v>
      </c>
      <c r="H24" s="537" t="str">
        <f t="shared" ref="H24:H28" si="10">IFERROR(((G24-F24)/F24),"")</f>
        <v/>
      </c>
      <c r="I24" s="946">
        <f t="shared" ref="I24:I28" si="11">IFERROR((D24-D23)/D23,0)</f>
        <v>0</v>
      </c>
      <c r="J24" s="946">
        <f t="shared" si="9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6"/>
        <v>0</v>
      </c>
      <c r="G25" s="24">
        <v>0</v>
      </c>
      <c r="H25" s="537" t="str">
        <f t="shared" si="10"/>
        <v/>
      </c>
      <c r="I25" s="946">
        <f>IFERROR((D25-D24)/D24,0)</f>
        <v>0</v>
      </c>
      <c r="J25" s="946">
        <f t="shared" si="9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6"/>
        <v>0</v>
      </c>
      <c r="G26" s="24">
        <v>0</v>
      </c>
      <c r="H26" s="537" t="str">
        <f t="shared" si="10"/>
        <v/>
      </c>
      <c r="I26" s="946">
        <f t="shared" si="11"/>
        <v>0</v>
      </c>
      <c r="J26" s="946">
        <f t="shared" si="9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6"/>
        <v>0</v>
      </c>
      <c r="G27" s="24">
        <v>0</v>
      </c>
      <c r="H27" s="537" t="str">
        <f t="shared" si="10"/>
        <v/>
      </c>
      <c r="I27" s="946">
        <f t="shared" si="11"/>
        <v>0</v>
      </c>
      <c r="J27" s="946">
        <f t="shared" si="9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6"/>
        <v>0</v>
      </c>
      <c r="G28" s="24">
        <v>0</v>
      </c>
      <c r="H28" s="537" t="str">
        <f t="shared" si="10"/>
        <v/>
      </c>
      <c r="I28" s="946">
        <f t="shared" si="11"/>
        <v>0</v>
      </c>
      <c r="J28" s="946">
        <f t="shared" si="9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2">+D28-D23</f>
        <v>0</v>
      </c>
      <c r="E29" s="720">
        <f t="shared" si="12"/>
        <v>0</v>
      </c>
      <c r="F29" s="720">
        <f t="shared" si="12"/>
        <v>0</v>
      </c>
      <c r="G29" s="720">
        <f t="shared" si="12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3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3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3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3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3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3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3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3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4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4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6:Q66"/>
    <mergeCell ref="B67:N67"/>
    <mergeCell ref="B68:I68"/>
    <mergeCell ref="B2:J2"/>
    <mergeCell ref="B3:J3"/>
    <mergeCell ref="B17:J17"/>
    <mergeCell ref="C32:I32"/>
    <mergeCell ref="B64:O64"/>
    <mergeCell ref="B65:O65"/>
  </mergeCells>
  <hyperlinks>
    <hyperlink ref="B65" r:id="rId1" xr:uid="{04C30C3F-7E6A-4C3E-979B-216A4D428D88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5:G14" formulaRange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3B0D-9E23-45BA-9457-3042C346BC4E}">
  <sheetPr>
    <tabColor theme="6" tint="-0.499984740745262"/>
  </sheetPr>
  <dimension ref="A1:AD92"/>
  <sheetViews>
    <sheetView showGridLines="0" topLeftCell="A22" zoomScale="90" zoomScaleNormal="90" zoomScaleSheetLayoutView="100" workbookViewId="0">
      <selection activeCell="T78" sqref="T78:V78"/>
    </sheetView>
  </sheetViews>
  <sheetFormatPr defaultColWidth="8.75" defaultRowHeight="12"/>
  <cols>
    <col min="1" max="1" width="4.625" style="221" bestFit="1" customWidth="1"/>
    <col min="2" max="2" width="38.875" style="4" customWidth="1"/>
    <col min="3" max="12" width="3.625" style="4" hidden="1" customWidth="1"/>
    <col min="13" max="17" width="6.75" style="4" bestFit="1" customWidth="1"/>
    <col min="18" max="18" width="6.75" style="4" customWidth="1"/>
    <col min="19" max="19" width="8.125" style="4" bestFit="1" customWidth="1"/>
    <col min="20" max="20" width="6.625" style="4" bestFit="1" customWidth="1"/>
    <col min="21" max="25" width="8.125" style="4" bestFit="1" customWidth="1"/>
    <col min="26" max="27" width="8.125" style="4" customWidth="1"/>
    <col min="28" max="28" width="3.75" style="4" customWidth="1"/>
    <col min="29" max="29" width="7.375" style="4" bestFit="1" customWidth="1"/>
    <col min="30" max="16384" width="8.75" style="4"/>
  </cols>
  <sheetData>
    <row r="1" spans="1:27">
      <c r="B1" s="552" t="str">
        <f>Summary!B1</f>
        <v>Municipality of Berkley</v>
      </c>
    </row>
    <row r="2" spans="1:27">
      <c r="B2" s="11" t="s">
        <v>999</v>
      </c>
    </row>
    <row r="4" spans="1:27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 t="s">
        <v>91</v>
      </c>
      <c r="N4" s="106" t="s">
        <v>92</v>
      </c>
      <c r="O4" s="106" t="s">
        <v>93</v>
      </c>
      <c r="P4" s="106" t="s">
        <v>94</v>
      </c>
      <c r="Q4" s="106" t="s">
        <v>95</v>
      </c>
      <c r="R4" s="106" t="s">
        <v>96</v>
      </c>
      <c r="S4" s="106" t="s">
        <v>97</v>
      </c>
      <c r="T4" s="106" t="s">
        <v>98</v>
      </c>
      <c r="U4" s="106" t="s">
        <v>99</v>
      </c>
      <c r="V4" s="106" t="s">
        <v>100</v>
      </c>
      <c r="W4" s="106" t="s">
        <v>101</v>
      </c>
      <c r="X4" s="106" t="s">
        <v>102</v>
      </c>
      <c r="Y4" s="106" t="s">
        <v>103</v>
      </c>
      <c r="Z4" s="106" t="s">
        <v>104</v>
      </c>
      <c r="AA4" s="106" t="s">
        <v>105</v>
      </c>
    </row>
    <row r="5" spans="1:27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 t="s">
        <v>158</v>
      </c>
      <c r="N5" s="106" t="s">
        <v>158</v>
      </c>
      <c r="O5" s="106" t="s">
        <v>158</v>
      </c>
      <c r="P5" s="106" t="s">
        <v>158</v>
      </c>
      <c r="Q5" s="106" t="s">
        <v>158</v>
      </c>
      <c r="R5" s="106" t="s">
        <v>158</v>
      </c>
      <c r="S5" s="106" t="s">
        <v>158</v>
      </c>
      <c r="T5" s="106" t="s">
        <v>158</v>
      </c>
      <c r="U5" s="106" t="s">
        <v>158</v>
      </c>
      <c r="V5" s="106" t="s">
        <v>158</v>
      </c>
      <c r="W5" s="106" t="s">
        <v>158</v>
      </c>
      <c r="X5" s="106" t="s">
        <v>158</v>
      </c>
      <c r="Y5" s="106" t="s">
        <v>158</v>
      </c>
      <c r="Z5" s="106" t="s">
        <v>158</v>
      </c>
      <c r="AA5" s="106" t="s">
        <v>158</v>
      </c>
    </row>
    <row r="6" spans="1:27">
      <c r="B6" s="547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41"/>
      <c r="N6" s="41"/>
    </row>
    <row r="7" spans="1:27">
      <c r="A7" s="274" t="s">
        <v>142</v>
      </c>
      <c r="B7" s="502" t="s">
        <v>1000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638">
        <f>+M72</f>
        <v>0</v>
      </c>
      <c r="N7" s="638">
        <f t="shared" ref="N7:Z8" si="0">+N72</f>
        <v>0</v>
      </c>
      <c r="O7" s="638">
        <f t="shared" si="0"/>
        <v>0</v>
      </c>
      <c r="P7" s="638">
        <f t="shared" si="0"/>
        <v>0</v>
      </c>
      <c r="Q7" s="638">
        <f t="shared" si="0"/>
        <v>0</v>
      </c>
      <c r="R7" s="638">
        <f t="shared" si="0"/>
        <v>0</v>
      </c>
      <c r="S7" s="638">
        <f t="shared" si="0"/>
        <v>0</v>
      </c>
      <c r="T7" s="638">
        <f>+T72</f>
        <v>0</v>
      </c>
      <c r="U7" s="638">
        <f t="shared" ref="U7:AA8" si="1">+U72</f>
        <v>0</v>
      </c>
      <c r="V7" s="638">
        <f t="shared" si="1"/>
        <v>0</v>
      </c>
      <c r="W7" s="638">
        <f t="shared" si="1"/>
        <v>0</v>
      </c>
      <c r="X7" s="638">
        <f t="shared" si="1"/>
        <v>0</v>
      </c>
      <c r="Y7" s="638">
        <f t="shared" si="1"/>
        <v>0</v>
      </c>
      <c r="Z7" s="638">
        <f t="shared" si="1"/>
        <v>0</v>
      </c>
      <c r="AA7" s="638">
        <f t="shared" si="1"/>
        <v>0</v>
      </c>
    </row>
    <row r="8" spans="1:27">
      <c r="A8" s="274" t="s">
        <v>142</v>
      </c>
      <c r="B8" s="502" t="s">
        <v>1001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638">
        <f>+M73</f>
        <v>0</v>
      </c>
      <c r="N8" s="638">
        <f t="shared" si="0"/>
        <v>0</v>
      </c>
      <c r="O8" s="638">
        <f t="shared" si="0"/>
        <v>0</v>
      </c>
      <c r="P8" s="638">
        <f t="shared" si="0"/>
        <v>0</v>
      </c>
      <c r="Q8" s="638">
        <f t="shared" si="0"/>
        <v>0</v>
      </c>
      <c r="R8" s="638">
        <f t="shared" si="0"/>
        <v>0</v>
      </c>
      <c r="S8" s="638">
        <f t="shared" si="0"/>
        <v>0</v>
      </c>
      <c r="T8" s="638">
        <f t="shared" si="0"/>
        <v>0</v>
      </c>
      <c r="U8" s="638">
        <f t="shared" si="0"/>
        <v>0</v>
      </c>
      <c r="V8" s="638">
        <f t="shared" si="0"/>
        <v>0</v>
      </c>
      <c r="W8" s="638">
        <f t="shared" si="0"/>
        <v>0</v>
      </c>
      <c r="X8" s="638">
        <f t="shared" si="0"/>
        <v>0</v>
      </c>
      <c r="Y8" s="638">
        <f t="shared" si="0"/>
        <v>0</v>
      </c>
      <c r="Z8" s="638">
        <f t="shared" si="0"/>
        <v>0</v>
      </c>
      <c r="AA8" s="638">
        <f t="shared" si="1"/>
        <v>0</v>
      </c>
    </row>
    <row r="9" spans="1:27"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27">
      <c r="A10" s="276" t="s">
        <v>217</v>
      </c>
      <c r="B10" s="502" t="s">
        <v>1002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638">
        <f>+M54</f>
        <v>0</v>
      </c>
      <c r="N10" s="638">
        <f t="shared" ref="N10:AA11" si="2">+N54</f>
        <v>0</v>
      </c>
      <c r="O10" s="638">
        <f t="shared" si="2"/>
        <v>0</v>
      </c>
      <c r="P10" s="638">
        <f t="shared" si="2"/>
        <v>0</v>
      </c>
      <c r="Q10" s="638">
        <f t="shared" si="2"/>
        <v>0</v>
      </c>
      <c r="R10" s="638">
        <f t="shared" si="2"/>
        <v>0</v>
      </c>
      <c r="S10" s="638">
        <f t="shared" si="2"/>
        <v>0</v>
      </c>
      <c r="T10" s="638">
        <f t="shared" si="2"/>
        <v>0</v>
      </c>
      <c r="U10" s="638">
        <f t="shared" si="2"/>
        <v>0</v>
      </c>
      <c r="V10" s="638">
        <f t="shared" si="2"/>
        <v>0</v>
      </c>
      <c r="W10" s="638">
        <f t="shared" si="2"/>
        <v>0</v>
      </c>
      <c r="X10" s="638">
        <f t="shared" si="2"/>
        <v>0</v>
      </c>
      <c r="Y10" s="638">
        <f t="shared" si="2"/>
        <v>0</v>
      </c>
      <c r="Z10" s="638">
        <f t="shared" si="2"/>
        <v>0</v>
      </c>
      <c r="AA10" s="638">
        <f t="shared" si="2"/>
        <v>0</v>
      </c>
    </row>
    <row r="11" spans="1:27">
      <c r="A11" s="276" t="s">
        <v>217</v>
      </c>
      <c r="B11" s="502" t="s">
        <v>1003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638">
        <f>+M55</f>
        <v>0</v>
      </c>
      <c r="N11" s="638">
        <f t="shared" si="2"/>
        <v>0</v>
      </c>
      <c r="O11" s="638">
        <f t="shared" si="2"/>
        <v>0</v>
      </c>
      <c r="P11" s="638">
        <f t="shared" si="2"/>
        <v>0</v>
      </c>
      <c r="Q11" s="638">
        <f t="shared" si="2"/>
        <v>0</v>
      </c>
      <c r="R11" s="638">
        <f t="shared" si="2"/>
        <v>0</v>
      </c>
      <c r="S11" s="638">
        <f t="shared" si="2"/>
        <v>0</v>
      </c>
      <c r="T11" s="638">
        <f t="shared" si="2"/>
        <v>0</v>
      </c>
      <c r="U11" s="638">
        <f t="shared" si="2"/>
        <v>0</v>
      </c>
      <c r="V11" s="638">
        <f t="shared" si="2"/>
        <v>0</v>
      </c>
      <c r="W11" s="638">
        <f t="shared" si="2"/>
        <v>0</v>
      </c>
      <c r="X11" s="638">
        <f t="shared" si="2"/>
        <v>0</v>
      </c>
      <c r="Y11" s="638">
        <f t="shared" si="2"/>
        <v>0</v>
      </c>
      <c r="Z11" s="638">
        <f t="shared" si="2"/>
        <v>0</v>
      </c>
      <c r="AA11" s="638">
        <f t="shared" si="2"/>
        <v>0</v>
      </c>
    </row>
    <row r="12" spans="1:27">
      <c r="C12" s="106"/>
    </row>
    <row r="45" spans="1:2">
      <c r="A45" s="274" t="s">
        <v>142</v>
      </c>
      <c r="B45" s="530" t="s">
        <v>1004</v>
      </c>
    </row>
    <row r="46" spans="1:2">
      <c r="A46" s="276"/>
      <c r="B46" s="468" t="s">
        <v>1005</v>
      </c>
    </row>
    <row r="47" spans="1:2">
      <c r="A47" s="276" t="s">
        <v>217</v>
      </c>
      <c r="B47" s="530" t="s">
        <v>1006</v>
      </c>
    </row>
    <row r="48" spans="1:2">
      <c r="A48" s="276"/>
      <c r="B48" s="468" t="s">
        <v>1007</v>
      </c>
    </row>
    <row r="49" spans="1:30" ht="12.75" thickBot="1">
      <c r="A49" s="943"/>
      <c r="B49" s="917"/>
      <c r="C49" s="917"/>
      <c r="D49" s="917"/>
      <c r="E49" s="917"/>
      <c r="F49" s="917"/>
      <c r="G49" s="917"/>
      <c r="H49" s="917"/>
      <c r="I49" s="917"/>
      <c r="J49" s="917"/>
      <c r="K49" s="917"/>
      <c r="L49" s="917"/>
      <c r="M49" s="917"/>
      <c r="N49" s="917"/>
      <c r="O49" s="917"/>
      <c r="P49" s="917"/>
      <c r="Q49" s="917"/>
      <c r="R49" s="917"/>
      <c r="S49" s="917"/>
      <c r="T49" s="917"/>
      <c r="U49" s="917"/>
      <c r="V49" s="917"/>
      <c r="W49" s="917"/>
      <c r="X49" s="917"/>
      <c r="Y49" s="917"/>
      <c r="Z49" s="917"/>
      <c r="AA49" s="917"/>
      <c r="AB49" s="917"/>
      <c r="AC49" s="917"/>
    </row>
    <row r="51" spans="1:30">
      <c r="B51" s="145" t="s">
        <v>1008</v>
      </c>
      <c r="V51" s="915"/>
    </row>
    <row r="52" spans="1:30">
      <c r="A52" s="206"/>
      <c r="B52" s="145" t="s">
        <v>1009</v>
      </c>
      <c r="M52" s="494" t="s">
        <v>91</v>
      </c>
      <c r="N52" s="495" t="s">
        <v>92</v>
      </c>
      <c r="O52" s="495" t="s">
        <v>93</v>
      </c>
      <c r="P52" s="495" t="s">
        <v>94</v>
      </c>
      <c r="Q52" s="80" t="s">
        <v>95</v>
      </c>
      <c r="R52" s="80" t="s">
        <v>96</v>
      </c>
      <c r="S52" s="80" t="s">
        <v>97</v>
      </c>
      <c r="T52" s="80" t="s">
        <v>98</v>
      </c>
      <c r="U52" s="80" t="s">
        <v>99</v>
      </c>
      <c r="V52" s="80" t="s">
        <v>100</v>
      </c>
      <c r="W52" s="80" t="s">
        <v>101</v>
      </c>
      <c r="X52" s="80" t="s">
        <v>102</v>
      </c>
      <c r="Y52" s="80" t="s">
        <v>103</v>
      </c>
      <c r="Z52" s="80" t="s">
        <v>104</v>
      </c>
      <c r="AA52" s="80" t="s">
        <v>105</v>
      </c>
      <c r="AB52" s="493"/>
      <c r="AC52" s="260" t="s">
        <v>212</v>
      </c>
      <c r="AD52" s="916"/>
    </row>
    <row r="53" spans="1:30">
      <c r="A53" s="206"/>
      <c r="B53" s="529" t="s">
        <v>1010</v>
      </c>
      <c r="M53" s="495" t="s">
        <v>158</v>
      </c>
      <c r="N53" s="494" t="s">
        <v>158</v>
      </c>
      <c r="O53" s="494" t="s">
        <v>158</v>
      </c>
      <c r="P53" s="495" t="s">
        <v>158</v>
      </c>
      <c r="Q53" s="495" t="s">
        <v>158</v>
      </c>
      <c r="R53" s="495" t="s">
        <v>158</v>
      </c>
      <c r="S53" s="495" t="s">
        <v>158</v>
      </c>
      <c r="T53" s="495" t="s">
        <v>158</v>
      </c>
      <c r="U53" s="495" t="s">
        <v>158</v>
      </c>
      <c r="V53" s="495" t="s">
        <v>158</v>
      </c>
      <c r="W53" s="495" t="s">
        <v>159</v>
      </c>
      <c r="X53" s="495" t="s">
        <v>159</v>
      </c>
      <c r="Y53" s="495" t="s">
        <v>159</v>
      </c>
      <c r="Z53" s="495" t="s">
        <v>159</v>
      </c>
      <c r="AA53" s="495" t="s">
        <v>159</v>
      </c>
      <c r="AB53" s="493"/>
      <c r="AC53" s="260" t="s">
        <v>213</v>
      </c>
      <c r="AD53" s="916"/>
    </row>
    <row r="54" spans="1:30">
      <c r="A54" s="206"/>
      <c r="B54" s="516" t="s">
        <v>1011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513"/>
      <c r="AC54" s="914" t="str">
        <f>IFERROR(AVERAGE((N54-M54)/M54,(O54-N54)/N54,(P54-O54)/O54,(Q54-P54)/P54,(R54-Q54)/Q54,(S54-R54)/R54,(T54-S54)/S54,(U54-T54)/T54,(V54-U54)/U54),"")</f>
        <v/>
      </c>
      <c r="AD54" s="916"/>
    </row>
    <row r="55" spans="1:30">
      <c r="A55" s="206"/>
      <c r="B55" s="516" t="s">
        <v>1012</v>
      </c>
      <c r="M55" s="637">
        <v>0</v>
      </c>
      <c r="N55" s="637">
        <v>0</v>
      </c>
      <c r="O55" s="637">
        <v>0</v>
      </c>
      <c r="P55" s="637">
        <v>0</v>
      </c>
      <c r="Q55" s="637">
        <v>0</v>
      </c>
      <c r="R55" s="637">
        <v>0</v>
      </c>
      <c r="S55" s="637">
        <v>0</v>
      </c>
      <c r="T55" s="637">
        <v>0</v>
      </c>
      <c r="U55" s="637">
        <v>0</v>
      </c>
      <c r="V55" s="637">
        <v>0</v>
      </c>
      <c r="W55" s="637">
        <v>0</v>
      </c>
      <c r="X55" s="637">
        <v>0</v>
      </c>
      <c r="Y55" s="637">
        <v>0</v>
      </c>
      <c r="Z55" s="637">
        <v>0</v>
      </c>
      <c r="AA55" s="637">
        <v>0</v>
      </c>
      <c r="AB55" s="515"/>
      <c r="AC55" s="914" t="str">
        <f t="shared" ref="AC55:AC59" si="3">IFERROR(AVERAGE((N55-M55)/M55,(O55-N55)/N55,(P55-O55)/O55,(Q55-P55)/P55,(R55-Q55)/Q55,(S55-R55)/R55,(T55-S55)/S55,(U55-T55)/T55,(V55-U55)/U55),"")</f>
        <v/>
      </c>
      <c r="AD55" s="916"/>
    </row>
    <row r="56" spans="1:30">
      <c r="A56" s="206"/>
      <c r="B56" s="517" t="s">
        <v>1013</v>
      </c>
      <c r="M56" s="637">
        <v>0</v>
      </c>
      <c r="N56" s="637">
        <v>0</v>
      </c>
      <c r="O56" s="637">
        <v>0</v>
      </c>
      <c r="P56" s="637">
        <v>0</v>
      </c>
      <c r="Q56" s="637">
        <v>0</v>
      </c>
      <c r="R56" s="637">
        <v>0</v>
      </c>
      <c r="S56" s="637">
        <v>0</v>
      </c>
      <c r="T56" s="637">
        <v>0</v>
      </c>
      <c r="U56" s="637">
        <v>0</v>
      </c>
      <c r="V56" s="637">
        <v>0</v>
      </c>
      <c r="W56" s="637">
        <v>0</v>
      </c>
      <c r="X56" s="637">
        <v>0</v>
      </c>
      <c r="Y56" s="637">
        <v>0</v>
      </c>
      <c r="Z56" s="637">
        <v>0</v>
      </c>
      <c r="AA56" s="637">
        <v>0</v>
      </c>
      <c r="AB56" s="500"/>
      <c r="AC56" s="914" t="str">
        <f t="shared" si="3"/>
        <v/>
      </c>
      <c r="AD56" s="916"/>
    </row>
    <row r="57" spans="1:30" ht="12.75" thickBot="1">
      <c r="A57" s="206"/>
      <c r="B57" s="518" t="s">
        <v>1014</v>
      </c>
      <c r="M57" s="643">
        <v>0</v>
      </c>
      <c r="N57" s="643">
        <v>0</v>
      </c>
      <c r="O57" s="643">
        <v>0</v>
      </c>
      <c r="P57" s="643">
        <v>0</v>
      </c>
      <c r="Q57" s="643">
        <v>0</v>
      </c>
      <c r="R57" s="643">
        <v>0</v>
      </c>
      <c r="S57" s="643">
        <v>0</v>
      </c>
      <c r="T57" s="643">
        <v>0</v>
      </c>
      <c r="U57" s="643">
        <v>0</v>
      </c>
      <c r="V57" s="643">
        <v>0</v>
      </c>
      <c r="W57" s="643">
        <v>0</v>
      </c>
      <c r="X57" s="643">
        <v>0</v>
      </c>
      <c r="Y57" s="643">
        <v>0</v>
      </c>
      <c r="Z57" s="643">
        <v>0</v>
      </c>
      <c r="AA57" s="643">
        <v>0</v>
      </c>
      <c r="AB57" s="500"/>
      <c r="AC57" s="914" t="str">
        <f t="shared" si="3"/>
        <v/>
      </c>
      <c r="AD57" s="916"/>
    </row>
    <row r="58" spans="1:30">
      <c r="A58" s="383"/>
      <c r="B58" s="519" t="s">
        <v>1015</v>
      </c>
      <c r="M58" s="644">
        <f t="shared" ref="M58:P58" si="4">SUM(M56:M57)</f>
        <v>0</v>
      </c>
      <c r="N58" s="644">
        <f t="shared" si="4"/>
        <v>0</v>
      </c>
      <c r="O58" s="644">
        <f t="shared" si="4"/>
        <v>0</v>
      </c>
      <c r="P58" s="644">
        <f t="shared" si="4"/>
        <v>0</v>
      </c>
      <c r="Q58" s="644">
        <f t="shared" ref="Q58:AA58" si="5">SUM(Q56:Q57)</f>
        <v>0</v>
      </c>
      <c r="R58" s="644">
        <f t="shared" si="5"/>
        <v>0</v>
      </c>
      <c r="S58" s="644">
        <f t="shared" si="5"/>
        <v>0</v>
      </c>
      <c r="T58" s="644">
        <f t="shared" si="5"/>
        <v>0</v>
      </c>
      <c r="U58" s="644">
        <f t="shared" si="5"/>
        <v>0</v>
      </c>
      <c r="V58" s="644">
        <f t="shared" si="5"/>
        <v>0</v>
      </c>
      <c r="W58" s="644">
        <f t="shared" si="5"/>
        <v>0</v>
      </c>
      <c r="X58" s="644">
        <f t="shared" si="5"/>
        <v>0</v>
      </c>
      <c r="Y58" s="644">
        <f t="shared" si="5"/>
        <v>0</v>
      </c>
      <c r="Z58" s="644">
        <f t="shared" si="5"/>
        <v>0</v>
      </c>
      <c r="AA58" s="644">
        <f t="shared" si="5"/>
        <v>0</v>
      </c>
      <c r="AB58" s="500"/>
      <c r="AC58" s="914" t="str">
        <f t="shared" si="3"/>
        <v/>
      </c>
      <c r="AD58" s="916"/>
    </row>
    <row r="59" spans="1:30">
      <c r="A59" s="206"/>
      <c r="B59" s="520" t="s">
        <v>1016</v>
      </c>
      <c r="M59" s="645">
        <f t="shared" ref="M59:P59" si="6">M55-M58</f>
        <v>0</v>
      </c>
      <c r="N59" s="645">
        <f t="shared" si="6"/>
        <v>0</v>
      </c>
      <c r="O59" s="645">
        <f t="shared" si="6"/>
        <v>0</v>
      </c>
      <c r="P59" s="645">
        <f t="shared" si="6"/>
        <v>0</v>
      </c>
      <c r="Q59" s="645">
        <f>Q55-Q58</f>
        <v>0</v>
      </c>
      <c r="R59" s="645">
        <f>R55-R58</f>
        <v>0</v>
      </c>
      <c r="S59" s="645">
        <f t="shared" ref="S59:AA59" si="7">S55-S58</f>
        <v>0</v>
      </c>
      <c r="T59" s="645">
        <f t="shared" si="7"/>
        <v>0</v>
      </c>
      <c r="U59" s="645">
        <f t="shared" si="7"/>
        <v>0</v>
      </c>
      <c r="V59" s="645">
        <f t="shared" si="7"/>
        <v>0</v>
      </c>
      <c r="W59" s="645">
        <f t="shared" si="7"/>
        <v>0</v>
      </c>
      <c r="X59" s="645">
        <f t="shared" si="7"/>
        <v>0</v>
      </c>
      <c r="Y59" s="645">
        <f t="shared" si="7"/>
        <v>0</v>
      </c>
      <c r="Z59" s="645">
        <f t="shared" si="7"/>
        <v>0</v>
      </c>
      <c r="AA59" s="645">
        <f t="shared" si="7"/>
        <v>0</v>
      </c>
      <c r="AB59" s="500"/>
      <c r="AC59" s="914" t="str">
        <f t="shared" si="3"/>
        <v/>
      </c>
      <c r="AD59" s="916"/>
    </row>
    <row r="60" spans="1:30">
      <c r="A60" s="206"/>
      <c r="B60" s="718"/>
      <c r="M60" s="719"/>
      <c r="N60" s="719"/>
      <c r="O60" s="719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500"/>
      <c r="AC60" s="914" t="str">
        <f t="shared" ref="AC60:AC71" si="8">IFERROR(AVERAGE((N60-M60)/M60,(O60-N60)/N60,(P60-O60)/O60,(Q60-P60)/P60,(R60-Q60)/Q60,(S60-R60)/R60,(T60-S60)/S60),"")</f>
        <v/>
      </c>
      <c r="AD60" s="916"/>
    </row>
    <row r="61" spans="1:30">
      <c r="A61" s="207" t="s">
        <v>220</v>
      </c>
      <c r="B61" s="514" t="s">
        <v>1017</v>
      </c>
      <c r="M61" s="494"/>
      <c r="N61" s="777"/>
      <c r="O61" s="777"/>
      <c r="P61" s="494"/>
      <c r="Q61" s="777"/>
      <c r="R61" s="646"/>
      <c r="S61" s="646"/>
      <c r="T61" s="646"/>
      <c r="U61" s="646"/>
      <c r="V61" s="646"/>
      <c r="W61" s="646"/>
      <c r="X61" s="646"/>
      <c r="Y61" s="646"/>
      <c r="Z61" s="646"/>
      <c r="AA61" s="646"/>
      <c r="AB61" s="498"/>
      <c r="AC61" s="914" t="str">
        <f t="shared" si="8"/>
        <v/>
      </c>
      <c r="AD61" s="916"/>
    </row>
    <row r="62" spans="1:30">
      <c r="A62" s="206"/>
      <c r="B62" s="516" t="s">
        <v>1011</v>
      </c>
      <c r="M62" s="637">
        <v>0</v>
      </c>
      <c r="N62" s="637">
        <v>0</v>
      </c>
      <c r="O62" s="637">
        <v>0</v>
      </c>
      <c r="P62" s="637">
        <v>0</v>
      </c>
      <c r="Q62" s="637">
        <v>0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0</v>
      </c>
      <c r="X62" s="637">
        <v>0</v>
      </c>
      <c r="Y62" s="637">
        <v>0</v>
      </c>
      <c r="Z62" s="637">
        <v>0</v>
      </c>
      <c r="AA62" s="637">
        <v>0</v>
      </c>
      <c r="AB62" s="493"/>
      <c r="AC62" s="914" t="str">
        <f t="shared" ref="AC62:AC67" si="9">IFERROR(AVERAGE((N62-M62)/M62,(O62-N62)/N62,(P62-O62)/O62,(Q62-P62)/P62,(R62-Q62)/Q62,(S62-R62)/R62,(T62-S62)/S62,(U62-T62)/T62,(V62-U62)/U62),"")</f>
        <v/>
      </c>
      <c r="AD62" s="916"/>
    </row>
    <row r="63" spans="1:30">
      <c r="A63" s="206"/>
      <c r="B63" s="516" t="s">
        <v>1012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521"/>
      <c r="AC63" s="914" t="str">
        <f t="shared" si="9"/>
        <v/>
      </c>
      <c r="AD63" s="916"/>
    </row>
    <row r="64" spans="1:30">
      <c r="A64" s="206"/>
      <c r="B64" s="517" t="s">
        <v>1013</v>
      </c>
      <c r="M64" s="637">
        <v>0</v>
      </c>
      <c r="N64" s="637">
        <v>0</v>
      </c>
      <c r="O64" s="637">
        <v>0</v>
      </c>
      <c r="P64" s="637">
        <v>0</v>
      </c>
      <c r="Q64" s="637">
        <v>0</v>
      </c>
      <c r="R64" s="637">
        <v>0</v>
      </c>
      <c r="S64" s="637">
        <v>0</v>
      </c>
      <c r="T64" s="637">
        <v>0</v>
      </c>
      <c r="U64" s="637">
        <v>0</v>
      </c>
      <c r="V64" s="637">
        <v>0</v>
      </c>
      <c r="W64" s="637">
        <v>0</v>
      </c>
      <c r="X64" s="637">
        <v>0</v>
      </c>
      <c r="Y64" s="637">
        <v>0</v>
      </c>
      <c r="Z64" s="637">
        <v>0</v>
      </c>
      <c r="AA64" s="637">
        <v>0</v>
      </c>
      <c r="AB64" s="500"/>
      <c r="AC64" s="914" t="str">
        <f t="shared" si="9"/>
        <v/>
      </c>
      <c r="AD64" s="916"/>
    </row>
    <row r="65" spans="1:30" ht="12.75" thickBot="1">
      <c r="A65" s="206"/>
      <c r="B65" s="518" t="s">
        <v>1018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500"/>
      <c r="AC65" s="914" t="str">
        <f t="shared" si="9"/>
        <v/>
      </c>
      <c r="AD65" s="916"/>
    </row>
    <row r="66" spans="1:30">
      <c r="A66" s="383"/>
      <c r="B66" s="519" t="s">
        <v>1015</v>
      </c>
      <c r="M66" s="644">
        <f t="shared" ref="M66:O66" si="10">SUM(M64:M65)</f>
        <v>0</v>
      </c>
      <c r="N66" s="644">
        <f t="shared" si="10"/>
        <v>0</v>
      </c>
      <c r="O66" s="644">
        <f t="shared" si="10"/>
        <v>0</v>
      </c>
      <c r="P66" s="644">
        <f t="shared" ref="P66:AA66" si="11">SUM(P64:P65)</f>
        <v>0</v>
      </c>
      <c r="Q66" s="644">
        <f t="shared" si="11"/>
        <v>0</v>
      </c>
      <c r="R66" s="644">
        <f t="shared" si="11"/>
        <v>0</v>
      </c>
      <c r="S66" s="644">
        <f t="shared" si="11"/>
        <v>0</v>
      </c>
      <c r="T66" s="644">
        <f t="shared" si="11"/>
        <v>0</v>
      </c>
      <c r="U66" s="644">
        <f t="shared" si="11"/>
        <v>0</v>
      </c>
      <c r="V66" s="644">
        <f t="shared" si="11"/>
        <v>0</v>
      </c>
      <c r="W66" s="644">
        <f t="shared" si="11"/>
        <v>0</v>
      </c>
      <c r="X66" s="644">
        <f t="shared" si="11"/>
        <v>0</v>
      </c>
      <c r="Y66" s="644">
        <f t="shared" si="11"/>
        <v>0</v>
      </c>
      <c r="Z66" s="644">
        <f t="shared" si="11"/>
        <v>0</v>
      </c>
      <c r="AA66" s="644">
        <f t="shared" si="11"/>
        <v>0</v>
      </c>
      <c r="AB66" s="500"/>
      <c r="AC66" s="914" t="str">
        <f t="shared" si="9"/>
        <v/>
      </c>
      <c r="AD66" s="916"/>
    </row>
    <row r="67" spans="1:30">
      <c r="A67" s="206"/>
      <c r="B67" s="520" t="s">
        <v>1016</v>
      </c>
      <c r="M67" s="645">
        <f t="shared" ref="M67:O67" si="12">M63-M66</f>
        <v>0</v>
      </c>
      <c r="N67" s="645">
        <f t="shared" si="12"/>
        <v>0</v>
      </c>
      <c r="O67" s="645">
        <f t="shared" si="12"/>
        <v>0</v>
      </c>
      <c r="P67" s="645">
        <f>P63-P66</f>
        <v>0</v>
      </c>
      <c r="Q67" s="645">
        <f t="shared" ref="Q67:AA67" si="13">Q63-Q66</f>
        <v>0</v>
      </c>
      <c r="R67" s="645">
        <f t="shared" si="13"/>
        <v>0</v>
      </c>
      <c r="S67" s="645">
        <f t="shared" si="13"/>
        <v>0</v>
      </c>
      <c r="T67" s="645">
        <f t="shared" si="13"/>
        <v>0</v>
      </c>
      <c r="U67" s="645">
        <f t="shared" si="13"/>
        <v>0</v>
      </c>
      <c r="V67" s="645">
        <f t="shared" si="13"/>
        <v>0</v>
      </c>
      <c r="W67" s="645">
        <f t="shared" si="13"/>
        <v>0</v>
      </c>
      <c r="X67" s="645">
        <f t="shared" si="13"/>
        <v>0</v>
      </c>
      <c r="Y67" s="645">
        <f t="shared" si="13"/>
        <v>0</v>
      </c>
      <c r="Z67" s="645">
        <f t="shared" si="13"/>
        <v>0</v>
      </c>
      <c r="AA67" s="645">
        <f t="shared" si="13"/>
        <v>0</v>
      </c>
      <c r="AB67" s="500"/>
      <c r="AC67" s="914" t="str">
        <f t="shared" si="9"/>
        <v/>
      </c>
      <c r="AD67" s="916"/>
    </row>
    <row r="68" spans="1:30">
      <c r="A68" s="382"/>
      <c r="B68" s="522"/>
      <c r="M68" s="523"/>
      <c r="N68" s="523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C68" s="914" t="str">
        <f t="shared" si="8"/>
        <v/>
      </c>
      <c r="AD68" s="916"/>
    </row>
    <row r="69" spans="1:30">
      <c r="A69" s="382"/>
      <c r="B69" s="525" t="s">
        <v>1019</v>
      </c>
      <c r="M69" s="523"/>
      <c r="N69" s="523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914" t="str">
        <f t="shared" si="8"/>
        <v/>
      </c>
      <c r="AD69" s="916"/>
    </row>
    <row r="70" spans="1:30">
      <c r="A70" s="382"/>
      <c r="B70" s="525" t="s">
        <v>1020</v>
      </c>
      <c r="M70" s="494" t="s">
        <v>91</v>
      </c>
      <c r="N70" s="495" t="s">
        <v>92</v>
      </c>
      <c r="O70" s="495" t="s">
        <v>93</v>
      </c>
      <c r="P70" s="495" t="s">
        <v>94</v>
      </c>
      <c r="Q70" s="80" t="s">
        <v>95</v>
      </c>
      <c r="R70" s="80" t="s">
        <v>96</v>
      </c>
      <c r="S70" s="80" t="s">
        <v>97</v>
      </c>
      <c r="T70" s="80" t="s">
        <v>98</v>
      </c>
      <c r="U70" s="80" t="s">
        <v>99</v>
      </c>
      <c r="V70" s="80" t="s">
        <v>100</v>
      </c>
      <c r="W70" s="80" t="s">
        <v>101</v>
      </c>
      <c r="X70" s="80" t="s">
        <v>102</v>
      </c>
      <c r="Y70" s="80" t="s">
        <v>103</v>
      </c>
      <c r="Z70" s="80" t="s">
        <v>104</v>
      </c>
      <c r="AA70" s="80" t="s">
        <v>105</v>
      </c>
      <c r="AB70" s="524"/>
      <c r="AC70" s="914" t="str">
        <f t="shared" si="8"/>
        <v/>
      </c>
      <c r="AD70" s="916"/>
    </row>
    <row r="71" spans="1:30">
      <c r="A71" s="206"/>
      <c r="B71" s="496" t="s">
        <v>1021</v>
      </c>
      <c r="M71" s="495" t="s">
        <v>158</v>
      </c>
      <c r="N71" s="494" t="s">
        <v>158</v>
      </c>
      <c r="O71" s="494" t="s">
        <v>158</v>
      </c>
      <c r="P71" s="495" t="s">
        <v>158</v>
      </c>
      <c r="Q71" s="495" t="s">
        <v>158</v>
      </c>
      <c r="R71" s="495" t="s">
        <v>158</v>
      </c>
      <c r="S71" s="495" t="s">
        <v>158</v>
      </c>
      <c r="T71" s="495" t="s">
        <v>158</v>
      </c>
      <c r="U71" s="495" t="s">
        <v>158</v>
      </c>
      <c r="V71" s="495" t="s">
        <v>158</v>
      </c>
      <c r="W71" s="495" t="s">
        <v>159</v>
      </c>
      <c r="X71" s="495" t="s">
        <v>159</v>
      </c>
      <c r="Y71" s="495" t="s">
        <v>159</v>
      </c>
      <c r="Z71" s="495" t="s">
        <v>159</v>
      </c>
      <c r="AA71" s="495" t="s">
        <v>159</v>
      </c>
      <c r="AB71" s="524"/>
      <c r="AC71" s="914" t="str">
        <f t="shared" si="8"/>
        <v/>
      </c>
      <c r="AD71" s="916"/>
    </row>
    <row r="72" spans="1:30">
      <c r="A72" s="206"/>
      <c r="B72" s="501" t="s">
        <v>1022</v>
      </c>
      <c r="M72" s="712">
        <v>0</v>
      </c>
      <c r="N72" s="712">
        <v>0</v>
      </c>
      <c r="O72" s="712">
        <v>0</v>
      </c>
      <c r="P72" s="712">
        <v>0</v>
      </c>
      <c r="Q72" s="712">
        <v>0</v>
      </c>
      <c r="R72" s="712">
        <v>0</v>
      </c>
      <c r="S72" s="712">
        <v>0</v>
      </c>
      <c r="T72" s="712">
        <v>0</v>
      </c>
      <c r="U72" s="712">
        <v>0</v>
      </c>
      <c r="V72" s="638">
        <f t="shared" ref="T72:AA73" si="14">IF(U75&gt;0,U75, 0)</f>
        <v>0</v>
      </c>
      <c r="W72" s="638">
        <f t="shared" si="14"/>
        <v>0</v>
      </c>
      <c r="X72" s="638">
        <f t="shared" si="14"/>
        <v>0</v>
      </c>
      <c r="Y72" s="638">
        <f t="shared" si="14"/>
        <v>0</v>
      </c>
      <c r="Z72" s="638">
        <f t="shared" si="14"/>
        <v>0</v>
      </c>
      <c r="AA72" s="638">
        <f t="shared" si="14"/>
        <v>0</v>
      </c>
      <c r="AB72" s="524"/>
      <c r="AC72" s="914" t="str">
        <f>IFERROR(AVERAGE((N72-M72)/M72,(O72-N72)/N72,(P72-O72)/O72,(Q72-P72)/P72,(R72-Q72)/Q72,(S72-R72)/R72,(T72-S72)/S72,(U72-T72)/T72),"")</f>
        <v/>
      </c>
      <c r="AD72" s="916"/>
    </row>
    <row r="73" spans="1:30">
      <c r="A73" s="206"/>
      <c r="B73" s="526" t="s">
        <v>1023</v>
      </c>
      <c r="M73" s="645">
        <v>0</v>
      </c>
      <c r="N73" s="645">
        <v>0</v>
      </c>
      <c r="O73" s="645">
        <v>0</v>
      </c>
      <c r="P73" s="645">
        <v>0</v>
      </c>
      <c r="Q73" s="645">
        <v>0</v>
      </c>
      <c r="R73" s="645">
        <v>0</v>
      </c>
      <c r="S73" s="647">
        <f>IF(R76&gt;0,R76, 0)</f>
        <v>0</v>
      </c>
      <c r="T73" s="647">
        <f t="shared" si="14"/>
        <v>0</v>
      </c>
      <c r="U73" s="647">
        <f t="shared" si="14"/>
        <v>0</v>
      </c>
      <c r="V73" s="647">
        <f t="shared" si="14"/>
        <v>0</v>
      </c>
      <c r="W73" s="647">
        <f t="shared" si="14"/>
        <v>0</v>
      </c>
      <c r="X73" s="647">
        <f t="shared" si="14"/>
        <v>0</v>
      </c>
      <c r="Y73" s="647">
        <f t="shared" si="14"/>
        <v>0</v>
      </c>
      <c r="Z73" s="647">
        <f t="shared" si="14"/>
        <v>0</v>
      </c>
      <c r="AA73" s="647">
        <f t="shared" si="14"/>
        <v>0</v>
      </c>
      <c r="AB73" s="513"/>
      <c r="AC73" s="914" t="str">
        <f t="shared" ref="AC73:AC83" si="15">IFERROR(AVERAGE((N73-M73)/M73,(O73-N73)/N73,(P73-O73)/O73,(Q73-P73)/P73,(R73-Q73)/Q73,(S73-R73)/R73,(T73-S73)/S73,(U73-T73)/T73),"")</f>
        <v/>
      </c>
      <c r="AD73" s="916"/>
    </row>
    <row r="74" spans="1:30">
      <c r="A74" s="207" t="s">
        <v>222</v>
      </c>
      <c r="B74" s="716" t="s">
        <v>1024</v>
      </c>
      <c r="M74" s="494" t="s">
        <v>1025</v>
      </c>
      <c r="N74" s="777" t="s">
        <v>1025</v>
      </c>
      <c r="O74" s="777" t="s">
        <v>1025</v>
      </c>
      <c r="P74" s="494" t="s">
        <v>1025</v>
      </c>
      <c r="Q74" s="777" t="s">
        <v>1025</v>
      </c>
      <c r="R74" s="777" t="s">
        <v>1025</v>
      </c>
      <c r="S74" s="777" t="s">
        <v>1025</v>
      </c>
      <c r="T74" s="777" t="s">
        <v>1025</v>
      </c>
      <c r="U74" s="777" t="s">
        <v>1025</v>
      </c>
      <c r="V74" s="715"/>
      <c r="W74" s="715"/>
      <c r="X74" s="715"/>
      <c r="Y74" s="715"/>
      <c r="Z74" s="715"/>
      <c r="AA74" s="715"/>
      <c r="AB74" s="493"/>
      <c r="AC74" s="914" t="str">
        <f t="shared" si="15"/>
        <v/>
      </c>
      <c r="AD74" s="916"/>
    </row>
    <row r="75" spans="1:30">
      <c r="A75" s="206"/>
      <c r="B75" s="501" t="s">
        <v>1022</v>
      </c>
      <c r="M75" s="712">
        <v>0</v>
      </c>
      <c r="N75" s="712">
        <v>0</v>
      </c>
      <c r="O75" s="712">
        <v>0</v>
      </c>
      <c r="P75" s="712">
        <v>0</v>
      </c>
      <c r="Q75" s="712">
        <v>0</v>
      </c>
      <c r="R75" s="712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493"/>
      <c r="AC75" s="914" t="str">
        <f t="shared" si="15"/>
        <v/>
      </c>
      <c r="AD75" s="916"/>
    </row>
    <row r="76" spans="1:30">
      <c r="A76" s="206"/>
      <c r="B76" s="526" t="s">
        <v>1023</v>
      </c>
      <c r="M76" s="645">
        <v>0</v>
      </c>
      <c r="N76" s="645">
        <v>0</v>
      </c>
      <c r="O76" s="645">
        <v>0</v>
      </c>
      <c r="P76" s="645">
        <v>0</v>
      </c>
      <c r="Q76" s="645">
        <v>0</v>
      </c>
      <c r="R76" s="645">
        <v>0</v>
      </c>
      <c r="S76" s="647">
        <v>0</v>
      </c>
      <c r="T76" s="647">
        <v>0</v>
      </c>
      <c r="U76" s="647">
        <v>0</v>
      </c>
      <c r="V76" s="647">
        <v>0</v>
      </c>
      <c r="W76" s="647">
        <v>0</v>
      </c>
      <c r="X76" s="647">
        <v>0</v>
      </c>
      <c r="Y76" s="647">
        <v>0</v>
      </c>
      <c r="Z76" s="647">
        <v>0</v>
      </c>
      <c r="AA76" s="647">
        <v>0</v>
      </c>
      <c r="AB76" s="513"/>
      <c r="AC76" s="914" t="str">
        <f t="shared" si="15"/>
        <v/>
      </c>
      <c r="AD76" s="916"/>
    </row>
    <row r="77" spans="1:30">
      <c r="A77" s="206"/>
      <c r="B77" s="49"/>
      <c r="M77" s="713"/>
      <c r="N77" s="713"/>
      <c r="O77" s="713"/>
      <c r="P77" s="713"/>
      <c r="Q77" s="713"/>
      <c r="R77" s="713"/>
      <c r="S77" s="650"/>
      <c r="T77" s="650"/>
      <c r="U77" s="650"/>
      <c r="V77" s="650"/>
      <c r="W77" s="650"/>
      <c r="X77" s="650"/>
      <c r="Y77" s="650"/>
      <c r="Z77" s="650"/>
      <c r="AA77" s="650"/>
      <c r="AB77" s="493"/>
      <c r="AC77" s="914" t="str">
        <f t="shared" si="15"/>
        <v/>
      </c>
      <c r="AD77" s="916"/>
    </row>
    <row r="78" spans="1:30">
      <c r="A78" s="207" t="s">
        <v>1026</v>
      </c>
      <c r="B78" s="496" t="s">
        <v>1027</v>
      </c>
      <c r="M78" s="495" t="s">
        <v>158</v>
      </c>
      <c r="N78" s="494" t="s">
        <v>158</v>
      </c>
      <c r="O78" s="494" t="s">
        <v>158</v>
      </c>
      <c r="P78" s="495" t="s">
        <v>158</v>
      </c>
      <c r="Q78" s="495" t="s">
        <v>158</v>
      </c>
      <c r="R78" s="495" t="s">
        <v>158</v>
      </c>
      <c r="S78" s="495" t="s">
        <v>158</v>
      </c>
      <c r="T78" s="495" t="s">
        <v>158</v>
      </c>
      <c r="U78" s="495" t="s">
        <v>158</v>
      </c>
      <c r="V78" s="495" t="s">
        <v>158</v>
      </c>
      <c r="W78" s="495" t="s">
        <v>159</v>
      </c>
      <c r="X78" s="495" t="s">
        <v>159</v>
      </c>
      <c r="Y78" s="495" t="s">
        <v>159</v>
      </c>
      <c r="Z78" s="495" t="s">
        <v>159</v>
      </c>
      <c r="AA78" s="495" t="s">
        <v>159</v>
      </c>
      <c r="AB78" s="493"/>
      <c r="AC78" s="914" t="str">
        <f t="shared" si="15"/>
        <v/>
      </c>
      <c r="AD78" s="916"/>
    </row>
    <row r="79" spans="1:30">
      <c r="A79" s="206"/>
      <c r="B79" s="501" t="s">
        <v>1022</v>
      </c>
      <c r="M79" s="712">
        <v>0</v>
      </c>
      <c r="N79" s="712">
        <v>0</v>
      </c>
      <c r="O79" s="712">
        <v>0</v>
      </c>
      <c r="P79" s="712">
        <v>0</v>
      </c>
      <c r="Q79" s="712">
        <v>0</v>
      </c>
      <c r="R79" s="712">
        <v>0</v>
      </c>
      <c r="S79" s="712">
        <v>0</v>
      </c>
      <c r="T79" s="712">
        <v>0</v>
      </c>
      <c r="U79" s="712">
        <v>0</v>
      </c>
      <c r="V79" s="638">
        <f t="shared" ref="T79:AA80" si="16">IF(U82&gt;0,U82, 0)</f>
        <v>0</v>
      </c>
      <c r="W79" s="638">
        <f t="shared" si="16"/>
        <v>0</v>
      </c>
      <c r="X79" s="638">
        <f t="shared" si="16"/>
        <v>0</v>
      </c>
      <c r="Y79" s="638">
        <f t="shared" si="16"/>
        <v>0</v>
      </c>
      <c r="Z79" s="638">
        <f t="shared" si="16"/>
        <v>0</v>
      </c>
      <c r="AA79" s="638">
        <f t="shared" si="16"/>
        <v>0</v>
      </c>
      <c r="AB79" s="493"/>
      <c r="AC79" s="914" t="str">
        <f t="shared" si="15"/>
        <v/>
      </c>
      <c r="AD79" s="916"/>
    </row>
    <row r="80" spans="1:30">
      <c r="A80" s="206"/>
      <c r="B80" s="526" t="s">
        <v>1023</v>
      </c>
      <c r="M80" s="645">
        <v>0</v>
      </c>
      <c r="N80" s="645">
        <v>0</v>
      </c>
      <c r="O80" s="645">
        <v>0</v>
      </c>
      <c r="P80" s="645">
        <v>0</v>
      </c>
      <c r="Q80" s="645">
        <v>0</v>
      </c>
      <c r="R80" s="645">
        <v>0</v>
      </c>
      <c r="S80" s="647">
        <f>IF(R83&gt;0,R83, 0)</f>
        <v>0</v>
      </c>
      <c r="T80" s="647">
        <f t="shared" si="16"/>
        <v>0</v>
      </c>
      <c r="U80" s="647">
        <f t="shared" si="16"/>
        <v>0</v>
      </c>
      <c r="V80" s="647">
        <f t="shared" si="16"/>
        <v>0</v>
      </c>
      <c r="W80" s="647">
        <f t="shared" si="16"/>
        <v>0</v>
      </c>
      <c r="X80" s="647">
        <f t="shared" si="16"/>
        <v>0</v>
      </c>
      <c r="Y80" s="647">
        <f t="shared" si="16"/>
        <v>0</v>
      </c>
      <c r="Z80" s="647">
        <f t="shared" si="16"/>
        <v>0</v>
      </c>
      <c r="AA80" s="647">
        <f t="shared" si="16"/>
        <v>0</v>
      </c>
      <c r="AB80" s="513"/>
      <c r="AC80" s="914" t="str">
        <f t="shared" si="15"/>
        <v/>
      </c>
      <c r="AD80" s="916"/>
    </row>
    <row r="81" spans="1:30">
      <c r="A81" s="207" t="s">
        <v>1026</v>
      </c>
      <c r="B81" s="716" t="s">
        <v>1028</v>
      </c>
      <c r="M81" s="494" t="s">
        <v>1025</v>
      </c>
      <c r="N81" s="777" t="s">
        <v>1025</v>
      </c>
      <c r="O81" s="777" t="s">
        <v>1025</v>
      </c>
      <c r="P81" s="494" t="s">
        <v>1025</v>
      </c>
      <c r="Q81" s="777" t="s">
        <v>1025</v>
      </c>
      <c r="R81" s="777" t="s">
        <v>1025</v>
      </c>
      <c r="S81" s="777" t="s">
        <v>1025</v>
      </c>
      <c r="T81" s="777" t="s">
        <v>1025</v>
      </c>
      <c r="U81" s="777" t="s">
        <v>1025</v>
      </c>
      <c r="V81" s="717"/>
      <c r="W81" s="717"/>
      <c r="X81" s="717"/>
      <c r="Y81" s="717"/>
      <c r="Z81" s="717"/>
      <c r="AA81" s="717"/>
      <c r="AB81" s="493"/>
      <c r="AC81" s="914" t="str">
        <f t="shared" si="15"/>
        <v/>
      </c>
      <c r="AD81" s="916"/>
    </row>
    <row r="82" spans="1:30">
      <c r="A82" s="206"/>
      <c r="B82" s="501" t="s">
        <v>1022</v>
      </c>
      <c r="M82" s="712">
        <v>0</v>
      </c>
      <c r="N82" s="712">
        <v>0</v>
      </c>
      <c r="O82" s="712">
        <v>0</v>
      </c>
      <c r="P82" s="712">
        <v>0</v>
      </c>
      <c r="Q82" s="712">
        <v>0</v>
      </c>
      <c r="R82" s="712">
        <v>0</v>
      </c>
      <c r="S82" s="712">
        <v>0</v>
      </c>
      <c r="T82" s="712">
        <v>0</v>
      </c>
      <c r="U82" s="712">
        <v>0</v>
      </c>
      <c r="V82" s="712">
        <v>0</v>
      </c>
      <c r="W82" s="712">
        <v>0</v>
      </c>
      <c r="X82" s="712">
        <v>0</v>
      </c>
      <c r="Y82" s="712">
        <v>0</v>
      </c>
      <c r="Z82" s="712">
        <v>0</v>
      </c>
      <c r="AA82" s="712">
        <v>0</v>
      </c>
      <c r="AB82" s="493"/>
      <c r="AC82" s="914" t="str">
        <f t="shared" si="15"/>
        <v/>
      </c>
      <c r="AD82" s="916"/>
    </row>
    <row r="83" spans="1:30">
      <c r="A83" s="206"/>
      <c r="B83" s="526" t="s">
        <v>1023</v>
      </c>
      <c r="M83" s="645">
        <v>0</v>
      </c>
      <c r="N83" s="645">
        <v>0</v>
      </c>
      <c r="O83" s="645">
        <v>0</v>
      </c>
      <c r="P83" s="645">
        <v>0</v>
      </c>
      <c r="Q83" s="645">
        <v>0</v>
      </c>
      <c r="R83" s="645">
        <v>0</v>
      </c>
      <c r="S83" s="645">
        <v>0</v>
      </c>
      <c r="T83" s="645">
        <v>0</v>
      </c>
      <c r="U83" s="645">
        <v>0</v>
      </c>
      <c r="V83" s="645">
        <v>0</v>
      </c>
      <c r="W83" s="645">
        <v>0</v>
      </c>
      <c r="X83" s="645">
        <v>0</v>
      </c>
      <c r="Y83" s="645">
        <v>0</v>
      </c>
      <c r="Z83" s="645">
        <v>0</v>
      </c>
      <c r="AA83" s="645">
        <v>0</v>
      </c>
      <c r="AB83" s="513"/>
      <c r="AC83" s="914" t="str">
        <f t="shared" si="15"/>
        <v/>
      </c>
      <c r="AD83" s="916"/>
    </row>
    <row r="85" spans="1:30">
      <c r="A85" s="386" t="s">
        <v>220</v>
      </c>
      <c r="B85" s="530" t="s">
        <v>1006</v>
      </c>
    </row>
    <row r="86" spans="1:30">
      <c r="A86" s="382"/>
      <c r="B86" s="468" t="s">
        <v>1007</v>
      </c>
    </row>
    <row r="87" spans="1:30">
      <c r="A87" s="207" t="s">
        <v>222</v>
      </c>
      <c r="B87" s="530" t="s">
        <v>1004</v>
      </c>
    </row>
    <row r="88" spans="1:30">
      <c r="A88" s="276"/>
      <c r="B88" s="468" t="s">
        <v>1005</v>
      </c>
    </row>
    <row r="89" spans="1:30">
      <c r="A89" s="382"/>
      <c r="B89" s="531" t="s">
        <v>1029</v>
      </c>
    </row>
    <row r="90" spans="1:30">
      <c r="A90" s="382" t="s">
        <v>226</v>
      </c>
      <c r="B90" s="523" t="s">
        <v>1030</v>
      </c>
    </row>
    <row r="91" spans="1:30">
      <c r="A91" s="206"/>
      <c r="B91" s="4" t="s">
        <v>1031</v>
      </c>
    </row>
    <row r="92" spans="1:30">
      <c r="A92" s="206"/>
      <c r="B92" s="468" t="s">
        <v>1005</v>
      </c>
    </row>
  </sheetData>
  <hyperlinks>
    <hyperlink ref="B48" r:id="rId1" xr:uid="{9CB9AA04-385E-4727-BF76-AEC4F9E03760}"/>
    <hyperlink ref="B86" r:id="rId2" xr:uid="{43BE8D00-038D-4653-9757-5A18D7867D84}"/>
    <hyperlink ref="B92" r:id="rId3" xr:uid="{DD61D473-768C-4DC9-963D-0C7AE94C0F59}"/>
    <hyperlink ref="B46" r:id="rId4" xr:uid="{BD93740D-68F7-4BA4-9002-CCA596C9A9EE}"/>
    <hyperlink ref="B88" r:id="rId5" xr:uid="{6A182431-E050-4195-B37A-C3BB18E071BF}"/>
  </hyperlinks>
  <pageMargins left="0.25" right="0.25" top="0.5" bottom="0.5" header="0.3" footer="0.3"/>
  <pageSetup scale="82" orientation="landscape" r:id="rId6"/>
  <headerFooter>
    <oddFooter>&amp;L&amp;9&amp;A&amp;C&amp;10page &amp;P of &amp;N&amp;R&amp;9&amp;D</oddFooter>
  </headerFooter>
  <ignoredErrors>
    <ignoredError sqref="M7:AA11 AC54:AC83 V72" unlockedFormula="1"/>
    <ignoredError sqref="M58:AA70 M82:AA83 M72:R80 M81:T81 V81:AA81 M71:U71 W71:AA71" formulaRange="1"/>
    <ignoredError sqref="S73:AA73 W72:AA72 S80:AA80 V79:AA79 S75:AA77 S74:T74 V74:AA74 S78:T78 W78:AA78" formulaRange="1" unlockedFormula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A1:AE76"/>
  <sheetViews>
    <sheetView showGridLines="0" tabSelected="1" zoomScale="110" zoomScaleNormal="110" workbookViewId="0">
      <pane xSplit="2" ySplit="4" topLeftCell="U5" activePane="bottomRight" state="frozen"/>
      <selection pane="bottomRight" activeCell="AD35" sqref="AD35"/>
      <selection pane="bottomLeft" activeCell="A5" sqref="A5"/>
      <selection pane="topRight" activeCell="C1" sqref="C1"/>
    </sheetView>
  </sheetViews>
  <sheetFormatPr defaultColWidth="8.75" defaultRowHeight="12"/>
  <cols>
    <col min="1" max="1" width="2" style="4" customWidth="1"/>
    <col min="2" max="2" width="32.25" style="4" customWidth="1"/>
    <col min="3" max="11" width="8.75" style="4" hidden="1" customWidth="1"/>
    <col min="12" max="14" width="10" style="26" hidden="1" customWidth="1"/>
    <col min="15" max="18" width="10" style="27" hidden="1" customWidth="1"/>
    <col min="19" max="28" width="10" style="27" customWidth="1"/>
    <col min="29" max="29" width="13.375" style="4" customWidth="1"/>
    <col min="30" max="16384" width="8.75" style="4"/>
  </cols>
  <sheetData>
    <row r="1" spans="2:31">
      <c r="B1" s="25" t="s">
        <v>80</v>
      </c>
      <c r="C1" s="25"/>
      <c r="D1" s="25"/>
      <c r="E1" s="25"/>
      <c r="F1" s="25"/>
      <c r="G1" s="25"/>
      <c r="H1" s="25"/>
      <c r="I1" s="25"/>
      <c r="J1" s="25"/>
      <c r="K1" s="25"/>
      <c r="P1" s="4"/>
    </row>
    <row r="2" spans="2:31">
      <c r="B2" s="28" t="s">
        <v>81</v>
      </c>
    </row>
    <row r="4" spans="2:31">
      <c r="C4" s="29" t="s">
        <v>82</v>
      </c>
      <c r="D4" s="29" t="s">
        <v>83</v>
      </c>
      <c r="E4" s="29" t="s">
        <v>84</v>
      </c>
      <c r="F4" s="29" t="s">
        <v>85</v>
      </c>
      <c r="G4" s="29" t="s">
        <v>86</v>
      </c>
      <c r="H4" s="29" t="s">
        <v>87</v>
      </c>
      <c r="I4" s="29" t="s">
        <v>88</v>
      </c>
      <c r="J4" s="29" t="s">
        <v>89</v>
      </c>
      <c r="K4" s="29" t="s">
        <v>90</v>
      </c>
      <c r="L4" s="29" t="s">
        <v>91</v>
      </c>
      <c r="M4" s="29" t="s">
        <v>92</v>
      </c>
      <c r="N4" s="29" t="s">
        <v>93</v>
      </c>
      <c r="O4" s="29" t="s">
        <v>94</v>
      </c>
      <c r="P4" s="364" t="s">
        <v>95</v>
      </c>
      <c r="Q4" s="29" t="s">
        <v>96</v>
      </c>
      <c r="R4" s="29" t="s">
        <v>97</v>
      </c>
      <c r="S4" s="29" t="s">
        <v>98</v>
      </c>
      <c r="T4" s="29" t="s">
        <v>99</v>
      </c>
      <c r="U4" s="29" t="s">
        <v>100</v>
      </c>
      <c r="V4" s="29" t="s">
        <v>101</v>
      </c>
      <c r="W4" s="29" t="s">
        <v>102</v>
      </c>
      <c r="X4" s="29" t="s">
        <v>103</v>
      </c>
      <c r="Y4" s="29" t="s">
        <v>104</v>
      </c>
      <c r="Z4" s="29" t="s">
        <v>105</v>
      </c>
      <c r="AA4" s="29" t="s">
        <v>106</v>
      </c>
      <c r="AB4" s="29" t="s">
        <v>107</v>
      </c>
    </row>
    <row r="5" spans="2:31">
      <c r="B5" s="30" t="s">
        <v>108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4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2:31">
      <c r="B6" s="12" t="s">
        <v>109</v>
      </c>
      <c r="P6" s="365"/>
    </row>
    <row r="7" spans="2:31">
      <c r="B7" s="14" t="s">
        <v>110</v>
      </c>
      <c r="C7" s="169">
        <f>Revenue!C13</f>
        <v>5568878</v>
      </c>
      <c r="D7" s="169">
        <f>Revenue!D13</f>
        <v>6809728.96</v>
      </c>
      <c r="E7" s="169">
        <f>Revenue!E13</f>
        <v>6579471.1699999999</v>
      </c>
      <c r="F7" s="169">
        <f>Revenue!F13</f>
        <v>7263524</v>
      </c>
      <c r="G7" s="169">
        <f>Revenue!G13</f>
        <v>7340635</v>
      </c>
      <c r="H7" s="169">
        <f>Revenue!H13</f>
        <v>8835650</v>
      </c>
      <c r="I7" s="169">
        <f>Revenue!I13</f>
        <v>8894954</v>
      </c>
      <c r="J7" s="169">
        <f>Revenue!J13</f>
        <v>8923452</v>
      </c>
      <c r="K7" s="169">
        <f>Revenue!K13</f>
        <v>9510388</v>
      </c>
      <c r="L7" s="169">
        <f>Revenue!L13</f>
        <v>10247658</v>
      </c>
      <c r="M7" s="169">
        <f>Revenue!M13</f>
        <v>11139415</v>
      </c>
      <c r="N7" s="169">
        <f>Revenue!N13</f>
        <v>11581258</v>
      </c>
      <c r="O7" s="169">
        <f>Revenue!O13</f>
        <v>11984094</v>
      </c>
      <c r="P7" s="554">
        <f>Revenue!P13</f>
        <v>13160228</v>
      </c>
      <c r="Q7" s="169">
        <f>Revenue!Q13</f>
        <v>13660036</v>
      </c>
      <c r="R7" s="169">
        <f>Revenue!R13</f>
        <v>13962698</v>
      </c>
      <c r="S7" s="169">
        <f>Revenue!S13</f>
        <v>14454100</v>
      </c>
      <c r="T7" s="169">
        <f>Revenue!T13</f>
        <v>14878765</v>
      </c>
      <c r="U7" s="169">
        <f>Revenue!U13</f>
        <v>15675175.859999999</v>
      </c>
      <c r="V7" s="169">
        <f>Revenue!V13</f>
        <v>16344864.880000001</v>
      </c>
      <c r="W7" s="169">
        <f>Revenue!W13</f>
        <v>17528738.649999999</v>
      </c>
      <c r="X7" s="169">
        <f>Revenue!X13</f>
        <v>24965934.666249998</v>
      </c>
      <c r="Y7" s="169">
        <f>Revenue!Y13</f>
        <v>26445322.507906251</v>
      </c>
      <c r="Z7" s="169">
        <f>Revenue!Z13</f>
        <v>27177164.670603905</v>
      </c>
      <c r="AA7" s="169">
        <f>Revenue!AA13</f>
        <v>27898562.962369002</v>
      </c>
      <c r="AB7" s="169">
        <f>Revenue!AB13</f>
        <v>28637533.311428227</v>
      </c>
      <c r="AE7" s="1027" t="s">
        <v>111</v>
      </c>
    </row>
    <row r="8" spans="2:31">
      <c r="B8" s="14" t="s">
        <v>112</v>
      </c>
      <c r="C8" s="169">
        <f>Revenue!C19</f>
        <v>0</v>
      </c>
      <c r="D8" s="169">
        <f>Revenue!D19</f>
        <v>0</v>
      </c>
      <c r="E8" s="169">
        <f>Revenue!E19</f>
        <v>0</v>
      </c>
      <c r="F8" s="169">
        <f>Revenue!F19</f>
        <v>0</v>
      </c>
      <c r="G8" s="169">
        <f>Revenue!G19</f>
        <v>6125530</v>
      </c>
      <c r="H8" s="169">
        <f>Revenue!H19</f>
        <v>5820988</v>
      </c>
      <c r="I8" s="169">
        <f>Revenue!I19</f>
        <v>4493659</v>
      </c>
      <c r="J8" s="169">
        <f>Revenue!J19</f>
        <v>4609239</v>
      </c>
      <c r="K8" s="169">
        <f>Revenue!K19</f>
        <v>4739554</v>
      </c>
      <c r="L8" s="169">
        <f>Revenue!L19</f>
        <v>4847144</v>
      </c>
      <c r="M8" s="169">
        <f>Revenue!M19</f>
        <v>4948593</v>
      </c>
      <c r="N8" s="169">
        <f>Revenue!N19</f>
        <v>5137265</v>
      </c>
      <c r="O8" s="169">
        <f>Revenue!O19</f>
        <v>5194023</v>
      </c>
      <c r="P8" s="554">
        <f>Revenue!P19</f>
        <v>5219288</v>
      </c>
      <c r="Q8" s="169">
        <f>Revenue!Q19</f>
        <v>5279339</v>
      </c>
      <c r="R8" s="169">
        <f>Revenue!R19</f>
        <v>5424217</v>
      </c>
      <c r="S8" s="169">
        <f>Revenue!S19</f>
        <v>5480432</v>
      </c>
      <c r="T8" s="169">
        <f>Revenue!T19</f>
        <v>5578578</v>
      </c>
      <c r="U8" s="169">
        <f>Revenue!U19</f>
        <v>5756941</v>
      </c>
      <c r="V8" s="169">
        <f>Revenue!V19</f>
        <v>6008205</v>
      </c>
      <c r="W8" s="169">
        <f>Revenue!W19</f>
        <v>6188485</v>
      </c>
      <c r="X8" s="169">
        <f>Revenue!X19</f>
        <v>6474158</v>
      </c>
      <c r="Y8" s="169">
        <f>Revenue!Y19</f>
        <v>6627304.8200000003</v>
      </c>
      <c r="Z8" s="169">
        <f>Revenue!Z19</f>
        <v>6788791.6670399997</v>
      </c>
      <c r="AA8" s="169">
        <f>Revenue!AA19</f>
        <v>6959235.7466445202</v>
      </c>
      <c r="AB8" s="169">
        <f>Revenue!AB19</f>
        <v>7139302.7487361524</v>
      </c>
      <c r="AE8" s="1028"/>
    </row>
    <row r="9" spans="2:31">
      <c r="B9" s="14" t="s">
        <v>113</v>
      </c>
      <c r="C9" s="169">
        <f>+Revenue!C21</f>
        <v>0</v>
      </c>
      <c r="D9" s="169">
        <f>+Revenue!D21</f>
        <v>0</v>
      </c>
      <c r="E9" s="169">
        <f>+Revenue!E21</f>
        <v>0</v>
      </c>
      <c r="F9" s="169">
        <f>+Revenue!F21</f>
        <v>0</v>
      </c>
      <c r="G9" s="169">
        <f>+Revenue!G21</f>
        <v>1039158</v>
      </c>
      <c r="H9" s="169">
        <f>+Revenue!H21</f>
        <v>1039158</v>
      </c>
      <c r="I9" s="169">
        <f>+Revenue!I21</f>
        <v>891336</v>
      </c>
      <c r="J9" s="169">
        <f>+Revenue!J21</f>
        <v>891336</v>
      </c>
      <c r="K9" s="169">
        <f>+Revenue!K21</f>
        <v>891336</v>
      </c>
      <c r="L9" s="169">
        <f>+Revenue!L21</f>
        <v>891336</v>
      </c>
      <c r="M9" s="169">
        <f>+Revenue!M21</f>
        <v>891336</v>
      </c>
      <c r="N9" s="169">
        <f>+Revenue!N21</f>
        <v>891336</v>
      </c>
      <c r="O9" s="169">
        <f>+Revenue!O21</f>
        <v>891336</v>
      </c>
      <c r="P9" s="169">
        <f>+Revenue!P21</f>
        <v>891336</v>
      </c>
      <c r="Q9" s="169">
        <f>+Revenue!Q21</f>
        <v>891336</v>
      </c>
      <c r="R9" s="169">
        <f>+Revenue!R21</f>
        <v>0</v>
      </c>
      <c r="S9" s="169">
        <f>+Revenue!S21</f>
        <v>0</v>
      </c>
      <c r="T9" s="169">
        <f>+Revenue!T21</f>
        <v>0</v>
      </c>
      <c r="U9" s="169">
        <f>+Revenue!U21</f>
        <v>0</v>
      </c>
      <c r="V9" s="169">
        <f>+Revenue!V21</f>
        <v>0</v>
      </c>
      <c r="W9" s="169">
        <f>+Revenue!W21</f>
        <v>0</v>
      </c>
      <c r="X9" s="169">
        <f>+Revenue!X21</f>
        <v>0</v>
      </c>
      <c r="Y9" s="169">
        <f>+Revenue!Y21</f>
        <v>0</v>
      </c>
      <c r="Z9" s="169">
        <f>+Revenue!Z21</f>
        <v>0</v>
      </c>
      <c r="AA9" s="169">
        <f>+Revenue!AA21</f>
        <v>0</v>
      </c>
      <c r="AB9" s="169">
        <f>+Revenue!AB21</f>
        <v>0</v>
      </c>
      <c r="AE9" s="1028"/>
    </row>
    <row r="10" spans="2:31">
      <c r="B10" s="14" t="s">
        <v>114</v>
      </c>
      <c r="C10" s="169">
        <f>Revenue!C26</f>
        <v>974000</v>
      </c>
      <c r="D10" s="169">
        <f>Revenue!D26</f>
        <v>0</v>
      </c>
      <c r="E10" s="169">
        <f>Revenue!E26</f>
        <v>0</v>
      </c>
      <c r="F10" s="169">
        <f>Revenue!F26</f>
        <v>0</v>
      </c>
      <c r="G10" s="169">
        <f>Revenue!G26</f>
        <v>0</v>
      </c>
      <c r="H10" s="169">
        <f>Revenue!H26</f>
        <v>0</v>
      </c>
      <c r="I10" s="169">
        <f>Revenue!I26</f>
        <v>0</v>
      </c>
      <c r="J10" s="169">
        <f>Revenue!J26</f>
        <v>0</v>
      </c>
      <c r="K10" s="169">
        <f>Revenue!K26</f>
        <v>0</v>
      </c>
      <c r="L10" s="169">
        <f>Revenue!L26</f>
        <v>0</v>
      </c>
      <c r="M10" s="169">
        <f>Revenue!M26</f>
        <v>0</v>
      </c>
      <c r="N10" s="169">
        <f>Revenue!N26</f>
        <v>1047594</v>
      </c>
      <c r="O10" s="169">
        <f>Revenue!O26</f>
        <v>1049436</v>
      </c>
      <c r="P10" s="554">
        <f>Revenue!P26</f>
        <v>1066762</v>
      </c>
      <c r="Q10" s="169">
        <f>Revenue!Q26</f>
        <v>1173668</v>
      </c>
      <c r="R10" s="169">
        <f>Revenue!R26</f>
        <v>1163871</v>
      </c>
      <c r="S10" s="169">
        <f>Revenue!S26</f>
        <v>1228269</v>
      </c>
      <c r="T10" s="169">
        <f>Revenue!T26</f>
        <v>1342720</v>
      </c>
      <c r="U10" s="169">
        <f>Revenue!U26</f>
        <v>1373125</v>
      </c>
      <c r="V10" s="169">
        <f>Revenue!V26</f>
        <v>1415282</v>
      </c>
      <c r="W10" s="169">
        <f>Revenue!W26</f>
        <v>1600867</v>
      </c>
      <c r="X10" s="169">
        <f>Revenue!X26</f>
        <v>1862232.6</v>
      </c>
      <c r="Y10" s="169">
        <f>Revenue!Y26</f>
        <v>1899478</v>
      </c>
      <c r="Z10" s="169">
        <f>Revenue!Z26</f>
        <v>1937468</v>
      </c>
      <c r="AA10" s="169">
        <f>Revenue!AA26</f>
        <v>1976216</v>
      </c>
      <c r="AB10" s="169">
        <f>Revenue!AB26</f>
        <v>2015740</v>
      </c>
      <c r="AE10" s="1028"/>
    </row>
    <row r="11" spans="2:31">
      <c r="B11" s="14" t="s">
        <v>115</v>
      </c>
      <c r="C11" s="169">
        <f>Revenue!C31</f>
        <v>0</v>
      </c>
      <c r="D11" s="169">
        <f>Revenue!D31</f>
        <v>0</v>
      </c>
      <c r="E11" s="169">
        <f>Revenue!E31</f>
        <v>0</v>
      </c>
      <c r="F11" s="169">
        <f>Revenue!F31</f>
        <v>0</v>
      </c>
      <c r="G11" s="169">
        <f>Revenue!G31</f>
        <v>0</v>
      </c>
      <c r="H11" s="169">
        <f>Revenue!H31</f>
        <v>0</v>
      </c>
      <c r="I11" s="169">
        <f>Revenue!I31</f>
        <v>0</v>
      </c>
      <c r="J11" s="169">
        <f>Revenue!J31</f>
        <v>0</v>
      </c>
      <c r="K11" s="169">
        <f>Revenue!K31</f>
        <v>0</v>
      </c>
      <c r="L11" s="169">
        <f>Revenue!L31</f>
        <v>0</v>
      </c>
      <c r="M11" s="169">
        <f>Revenue!M31</f>
        <v>0</v>
      </c>
      <c r="N11" s="169">
        <f>Revenue!N31</f>
        <v>0</v>
      </c>
      <c r="O11" s="169">
        <f>Revenue!O31</f>
        <v>0</v>
      </c>
      <c r="P11" s="554">
        <f>Revenue!P31</f>
        <v>0</v>
      </c>
      <c r="Q11" s="169">
        <f>Revenue!Q31</f>
        <v>0</v>
      </c>
      <c r="R11" s="169">
        <f>Revenue!R31</f>
        <v>3209465</v>
      </c>
      <c r="S11" s="169">
        <f>Revenue!S31</f>
        <v>2852594</v>
      </c>
      <c r="T11" s="169">
        <f>Revenue!T31</f>
        <v>4178953</v>
      </c>
      <c r="U11" s="169">
        <f>Revenue!U31</f>
        <v>4433967</v>
      </c>
      <c r="V11" s="169">
        <f>Revenue!V31</f>
        <v>4259338</v>
      </c>
      <c r="W11" s="169">
        <f>Revenue!W31</f>
        <v>4790695</v>
      </c>
      <c r="X11" s="169">
        <f>Revenue!X31</f>
        <v>3608111</v>
      </c>
      <c r="Y11" s="169">
        <f>Revenue!Y31</f>
        <v>3686188.7749999999</v>
      </c>
      <c r="Z11" s="169">
        <f>Revenue!Z31</f>
        <v>3766218.4943749998</v>
      </c>
      <c r="AA11" s="169">
        <f>Revenue!AA31</f>
        <v>3848249.9567343746</v>
      </c>
      <c r="AB11" s="169">
        <f>Revenue!AB31</f>
        <v>3932332.1806527339</v>
      </c>
      <c r="AE11" s="1028"/>
    </row>
    <row r="12" spans="2:31">
      <c r="B12" s="805" t="s">
        <v>116</v>
      </c>
      <c r="C12" s="806">
        <f t="shared" ref="C12:M12" si="0">SUM(C7:C11)</f>
        <v>6542878</v>
      </c>
      <c r="D12" s="806">
        <f t="shared" si="0"/>
        <v>6809728.96</v>
      </c>
      <c r="E12" s="806">
        <f t="shared" si="0"/>
        <v>6579471.1699999999</v>
      </c>
      <c r="F12" s="806">
        <f t="shared" si="0"/>
        <v>7263524</v>
      </c>
      <c r="G12" s="806">
        <f t="shared" si="0"/>
        <v>14505323</v>
      </c>
      <c r="H12" s="806">
        <f t="shared" si="0"/>
        <v>15695796</v>
      </c>
      <c r="I12" s="806">
        <f t="shared" si="0"/>
        <v>14279949</v>
      </c>
      <c r="J12" s="806">
        <f t="shared" si="0"/>
        <v>14424027</v>
      </c>
      <c r="K12" s="806">
        <f t="shared" si="0"/>
        <v>15141278</v>
      </c>
      <c r="L12" s="806">
        <f t="shared" si="0"/>
        <v>15986138</v>
      </c>
      <c r="M12" s="806">
        <f t="shared" si="0"/>
        <v>16979344</v>
      </c>
      <c r="N12" s="806">
        <f t="shared" ref="N12" si="1">SUM(N7:N11)</f>
        <v>18657453</v>
      </c>
      <c r="O12" s="806">
        <f t="shared" ref="O12:S12" si="2">SUM(O7:O11)</f>
        <v>19118889</v>
      </c>
      <c r="P12" s="806">
        <f t="shared" si="2"/>
        <v>20337614</v>
      </c>
      <c r="Q12" s="806">
        <f t="shared" si="2"/>
        <v>21004379</v>
      </c>
      <c r="R12" s="806">
        <f t="shared" si="2"/>
        <v>23760251</v>
      </c>
      <c r="S12" s="806">
        <f t="shared" si="2"/>
        <v>24015395</v>
      </c>
      <c r="T12" s="806">
        <f t="shared" ref="T12:U12" si="3">SUM(T7:T11)</f>
        <v>25979016</v>
      </c>
      <c r="U12" s="806">
        <f t="shared" si="3"/>
        <v>27239208.859999999</v>
      </c>
      <c r="V12" s="806">
        <f t="shared" ref="V12:W12" si="4">SUM(V7:V11)</f>
        <v>28027689.880000003</v>
      </c>
      <c r="W12" s="806">
        <f t="shared" si="4"/>
        <v>30108785.649999999</v>
      </c>
      <c r="X12" s="806">
        <f t="shared" ref="X12:Y12" si="5">SUM(X7:X11)</f>
        <v>36910436.266249999</v>
      </c>
      <c r="Y12" s="806">
        <f t="shared" si="5"/>
        <v>38658294.102906249</v>
      </c>
      <c r="Z12" s="806">
        <f t="shared" ref="Z12:AB12" si="6">SUM(Z7:Z11)</f>
        <v>39669642.832018904</v>
      </c>
      <c r="AA12" s="806">
        <f t="shared" si="6"/>
        <v>40682264.665747896</v>
      </c>
      <c r="AB12" s="806">
        <f t="shared" si="6"/>
        <v>41724908.240817115</v>
      </c>
    </row>
    <row r="13" spans="2:31">
      <c r="B13" s="807" t="s">
        <v>117</v>
      </c>
      <c r="C13" s="808" t="str">
        <f t="shared" ref="C13:M13" si="7">IFERROR((C12-B12)/B12,"")</f>
        <v/>
      </c>
      <c r="D13" s="808">
        <f t="shared" si="7"/>
        <v>4.0784951209544174E-2</v>
      </c>
      <c r="E13" s="808">
        <f t="shared" si="7"/>
        <v>-3.38130623630577E-2</v>
      </c>
      <c r="F13" s="808">
        <f t="shared" si="7"/>
        <v>0.10396775247211852</v>
      </c>
      <c r="G13" s="808">
        <f t="shared" si="7"/>
        <v>0.9970090275739435</v>
      </c>
      <c r="H13" s="808">
        <f t="shared" si="7"/>
        <v>8.2071457491846272E-2</v>
      </c>
      <c r="I13" s="808">
        <f t="shared" si="7"/>
        <v>-9.020549196740324E-2</v>
      </c>
      <c r="J13" s="808">
        <f t="shared" si="7"/>
        <v>1.0089531832361586E-2</v>
      </c>
      <c r="K13" s="808">
        <f t="shared" si="7"/>
        <v>4.9726127107221858E-2</v>
      </c>
      <c r="L13" s="808">
        <f t="shared" si="7"/>
        <v>5.5798460341326538E-2</v>
      </c>
      <c r="M13" s="808">
        <f t="shared" si="7"/>
        <v>6.2129202187545238E-2</v>
      </c>
      <c r="N13" s="808">
        <f>IFERROR((N12-M12)/M12,"")</f>
        <v>9.8832381274565145E-2</v>
      </c>
      <c r="O13" s="808">
        <f t="shared" ref="O13:Z13" si="8">IFERROR((O12-N12)/N12,"")</f>
        <v>2.4731993161124403E-2</v>
      </c>
      <c r="P13" s="809">
        <f t="shared" si="8"/>
        <v>6.3744551265505017E-2</v>
      </c>
      <c r="Q13" s="809">
        <f t="shared" si="8"/>
        <v>3.2784819300828508E-2</v>
      </c>
      <c r="R13" s="809">
        <f t="shared" si="8"/>
        <v>0.13120464070849228</v>
      </c>
      <c r="S13" s="809">
        <f t="shared" si="8"/>
        <v>1.0738270399584584E-2</v>
      </c>
      <c r="T13" s="809">
        <f t="shared" si="8"/>
        <v>8.1765092766535805E-2</v>
      </c>
      <c r="U13" s="809">
        <f t="shared" si="8"/>
        <v>4.8508105926721758E-2</v>
      </c>
      <c r="V13" s="809">
        <f t="shared" si="8"/>
        <v>2.8946546283797E-2</v>
      </c>
      <c r="W13" s="809">
        <f t="shared" si="8"/>
        <v>7.4251419896187165E-2</v>
      </c>
      <c r="X13" s="809">
        <f t="shared" si="8"/>
        <v>0.22590252211815792</v>
      </c>
      <c r="Y13" s="809">
        <f t="shared" si="8"/>
        <v>4.7354028114114939E-2</v>
      </c>
      <c r="Z13" s="809">
        <f t="shared" si="8"/>
        <v>2.6161235320433445E-2</v>
      </c>
      <c r="AA13" s="809">
        <f t="shared" ref="AA13" si="9">IFERROR((AA12-Z12)/Z12,"")</f>
        <v>2.5526366295177863E-2</v>
      </c>
      <c r="AB13" s="809">
        <f t="shared" ref="AB13" si="10">IFERROR((AB12-AA12)/AA12,"")</f>
        <v>2.5628946265301308E-2</v>
      </c>
    </row>
    <row r="14" spans="2:3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46"/>
      <c r="M14" s="246"/>
      <c r="N14" s="246"/>
      <c r="O14" s="246"/>
      <c r="P14" s="24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2:31">
      <c r="B15" s="12" t="s">
        <v>118</v>
      </c>
      <c r="C15" s="32"/>
      <c r="D15" s="32"/>
      <c r="E15" s="32"/>
      <c r="F15" s="32"/>
      <c r="G15" s="32"/>
      <c r="H15" s="32"/>
      <c r="I15" s="32"/>
      <c r="J15" s="32"/>
      <c r="K15" s="3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2:31">
      <c r="B16" s="14" t="s">
        <v>119</v>
      </c>
      <c r="C16" s="169">
        <f>Expenditures!C10</f>
        <v>0</v>
      </c>
      <c r="D16" s="169">
        <f>Expenditures!D10</f>
        <v>0</v>
      </c>
      <c r="E16" s="169">
        <f>Expenditures!E10</f>
        <v>0</v>
      </c>
      <c r="F16" s="169">
        <f>Expenditures!F10</f>
        <v>0</v>
      </c>
      <c r="G16" s="169">
        <f>Expenditures!G10</f>
        <v>0</v>
      </c>
      <c r="H16" s="169">
        <f>Expenditures!H10</f>
        <v>0</v>
      </c>
      <c r="I16" s="169">
        <f>Expenditures!I10</f>
        <v>0</v>
      </c>
      <c r="J16" s="169">
        <f>Expenditures!J10</f>
        <v>0</v>
      </c>
      <c r="K16" s="169">
        <f>Expenditures!K10</f>
        <v>0</v>
      </c>
      <c r="L16" s="169">
        <f>Expenditures!L10</f>
        <v>0</v>
      </c>
      <c r="M16" s="169">
        <f>Expenditures!M10</f>
        <v>0</v>
      </c>
      <c r="N16" s="169">
        <f>Expenditures!N10</f>
        <v>0</v>
      </c>
      <c r="O16" s="169">
        <f>Expenditures!O10</f>
        <v>0</v>
      </c>
      <c r="P16" s="554">
        <f>Expenditures!P10</f>
        <v>0</v>
      </c>
      <c r="Q16" s="169">
        <f>Expenditures!Q10</f>
        <v>0</v>
      </c>
      <c r="R16" s="169">
        <f>Expenditures!R10</f>
        <v>0</v>
      </c>
      <c r="S16" s="169">
        <f>Expenditures!S10</f>
        <v>0</v>
      </c>
      <c r="T16" s="169">
        <f>Expenditures!T10</f>
        <v>796354</v>
      </c>
      <c r="U16" s="169">
        <f>Expenditures!U10</f>
        <v>830036</v>
      </c>
      <c r="V16" s="169">
        <f>Expenditures!V10</f>
        <v>868893</v>
      </c>
      <c r="W16" s="169">
        <f>Expenditures!W10</f>
        <v>923572</v>
      </c>
      <c r="X16" s="169">
        <f>Expenditures!X10</f>
        <v>1029823.335</v>
      </c>
      <c r="Y16" s="169">
        <f>Expenditures!Y10</f>
        <v>1124274.2029987182</v>
      </c>
      <c r="Z16" s="169">
        <f>Expenditures!Z10</f>
        <v>1182327.8484723349</v>
      </c>
      <c r="AA16" s="169">
        <f>Expenditures!AA10</f>
        <v>1242014.658302675</v>
      </c>
      <c r="AB16" s="169">
        <f>Expenditures!AB10</f>
        <v>1303418.3571869587</v>
      </c>
    </row>
    <row r="17" spans="2:29">
      <c r="B17" s="14" t="s">
        <v>120</v>
      </c>
      <c r="C17" s="169">
        <f>Expenditures!C26</f>
        <v>0</v>
      </c>
      <c r="D17" s="169">
        <f>Expenditures!D26</f>
        <v>0</v>
      </c>
      <c r="E17" s="169">
        <f>Expenditures!E26</f>
        <v>0</v>
      </c>
      <c r="F17" s="169">
        <f>Expenditures!F26</f>
        <v>0</v>
      </c>
      <c r="G17" s="169">
        <f>Expenditures!G26</f>
        <v>0</v>
      </c>
      <c r="H17" s="169">
        <f>Expenditures!H26</f>
        <v>0</v>
      </c>
      <c r="I17" s="169">
        <f>Expenditures!I26</f>
        <v>0</v>
      </c>
      <c r="J17" s="169">
        <f>Expenditures!J26</f>
        <v>0</v>
      </c>
      <c r="K17" s="169">
        <f>Expenditures!K26</f>
        <v>0</v>
      </c>
      <c r="L17" s="169">
        <f>Expenditures!L26</f>
        <v>0</v>
      </c>
      <c r="M17" s="169">
        <f>Expenditures!M26</f>
        <v>0</v>
      </c>
      <c r="N17" s="169">
        <f>Expenditures!N26</f>
        <v>0</v>
      </c>
      <c r="O17" s="169">
        <f>Expenditures!O26</f>
        <v>0</v>
      </c>
      <c r="P17" s="554">
        <f>Expenditures!P26</f>
        <v>0</v>
      </c>
      <c r="Q17" s="169">
        <f>Expenditures!Q26</f>
        <v>0</v>
      </c>
      <c r="R17" s="169">
        <f>Expenditures!R26</f>
        <v>0</v>
      </c>
      <c r="S17" s="169">
        <f>Expenditures!S26</f>
        <v>0</v>
      </c>
      <c r="T17" s="169">
        <f>Expenditures!T26</f>
        <v>2845153</v>
      </c>
      <c r="U17" s="169">
        <f>Expenditures!U26</f>
        <v>3188303</v>
      </c>
      <c r="V17" s="169">
        <f>Expenditures!V26</f>
        <v>3220041</v>
      </c>
      <c r="W17" s="169">
        <f>Expenditures!W26</f>
        <v>3347473</v>
      </c>
      <c r="X17" s="169">
        <f>Expenditures!X26</f>
        <v>4060384</v>
      </c>
      <c r="Y17" s="169">
        <f>Expenditures!Y26</f>
        <v>4263964.3600000003</v>
      </c>
      <c r="Z17" s="169">
        <f>Expenditures!Z26</f>
        <v>4439480.3344000001</v>
      </c>
      <c r="AA17" s="169">
        <f>Expenditures!AA26</f>
        <v>4661876.1877760002</v>
      </c>
      <c r="AB17" s="169">
        <f>Expenditures!AB26</f>
        <v>4899249.2352870405</v>
      </c>
    </row>
    <row r="18" spans="2:29">
      <c r="B18" s="14" t="s">
        <v>38</v>
      </c>
      <c r="C18" s="169">
        <f>Expenditures!C50</f>
        <v>0</v>
      </c>
      <c r="D18" s="169">
        <f>Expenditures!D50</f>
        <v>0</v>
      </c>
      <c r="E18" s="169">
        <f>Expenditures!E50</f>
        <v>0</v>
      </c>
      <c r="F18" s="169">
        <f>Expenditures!F50</f>
        <v>0</v>
      </c>
      <c r="G18" s="169">
        <f>Expenditures!G50</f>
        <v>0</v>
      </c>
      <c r="H18" s="169">
        <f>Expenditures!H50</f>
        <v>0</v>
      </c>
      <c r="I18" s="169">
        <f>Expenditures!I50</f>
        <v>0</v>
      </c>
      <c r="J18" s="169">
        <f>Expenditures!J50</f>
        <v>0</v>
      </c>
      <c r="K18" s="169">
        <f>Expenditures!K50</f>
        <v>0</v>
      </c>
      <c r="L18" s="169">
        <f>Expenditures!L50</f>
        <v>0</v>
      </c>
      <c r="M18" s="169">
        <f>Expenditures!M50</f>
        <v>0</v>
      </c>
      <c r="N18" s="169">
        <f>Expenditures!N50</f>
        <v>0</v>
      </c>
      <c r="O18" s="169">
        <f>Expenditures!O50</f>
        <v>0</v>
      </c>
      <c r="P18" s="554">
        <f>Expenditures!P50</f>
        <v>0</v>
      </c>
      <c r="Q18" s="169">
        <f>Expenditures!Q50</f>
        <v>0</v>
      </c>
      <c r="R18" s="169">
        <f>Expenditures!R50</f>
        <v>0</v>
      </c>
      <c r="S18" s="169">
        <f>Expenditures!S50</f>
        <v>0</v>
      </c>
      <c r="T18" s="169">
        <f>Expenditures!T50</f>
        <v>12926264</v>
      </c>
      <c r="U18" s="169">
        <f>Expenditures!U50</f>
        <v>14062698</v>
      </c>
      <c r="V18" s="169">
        <f>Expenditures!V50</f>
        <v>14741279</v>
      </c>
      <c r="W18" s="169">
        <f>Expenditures!W50</f>
        <v>15801718</v>
      </c>
      <c r="X18" s="169">
        <f>Expenditures!X50</f>
        <v>17663630</v>
      </c>
      <c r="Y18" s="169">
        <f>Expenditures!Y50</f>
        <v>18639864.375</v>
      </c>
      <c r="Z18" s="169">
        <f>Expenditures!Z50</f>
        <v>19677834.91375</v>
      </c>
      <c r="AA18" s="169">
        <f>Expenditures!AA50</f>
        <v>20517628.082625002</v>
      </c>
      <c r="AB18" s="169">
        <f>Expenditures!AB50</f>
        <v>21464324.726193752</v>
      </c>
    </row>
    <row r="19" spans="2:29">
      <c r="B19" s="14" t="s">
        <v>121</v>
      </c>
      <c r="C19" s="169">
        <f>Expenditures!C57</f>
        <v>0</v>
      </c>
      <c r="D19" s="169">
        <f>Expenditures!D57</f>
        <v>0</v>
      </c>
      <c r="E19" s="169">
        <f>Expenditures!E57</f>
        <v>0</v>
      </c>
      <c r="F19" s="169">
        <f>Expenditures!F57</f>
        <v>0</v>
      </c>
      <c r="G19" s="169">
        <f>Expenditures!G57</f>
        <v>0</v>
      </c>
      <c r="H19" s="169">
        <f>Expenditures!H57</f>
        <v>0</v>
      </c>
      <c r="I19" s="169">
        <f>Expenditures!I57</f>
        <v>0</v>
      </c>
      <c r="J19" s="169">
        <f>Expenditures!J57</f>
        <v>0</v>
      </c>
      <c r="K19" s="169">
        <f>Expenditures!K57</f>
        <v>0</v>
      </c>
      <c r="L19" s="169">
        <f>Expenditures!L57</f>
        <v>0</v>
      </c>
      <c r="M19" s="169">
        <f>Expenditures!M57</f>
        <v>0</v>
      </c>
      <c r="N19" s="169">
        <f>Expenditures!N57</f>
        <v>0</v>
      </c>
      <c r="O19" s="169">
        <f>Expenditures!O57</f>
        <v>0</v>
      </c>
      <c r="P19" s="554">
        <f>Expenditures!P57</f>
        <v>0</v>
      </c>
      <c r="Q19" s="169">
        <f>Expenditures!Q57</f>
        <v>0</v>
      </c>
      <c r="R19" s="169">
        <f>Expenditures!R57</f>
        <v>0</v>
      </c>
      <c r="S19" s="169">
        <f>Expenditures!S57</f>
        <v>0</v>
      </c>
      <c r="T19" s="169">
        <f>Expenditures!T57</f>
        <v>942000</v>
      </c>
      <c r="U19" s="169">
        <f>Expenditures!U57</f>
        <v>972903</v>
      </c>
      <c r="V19" s="169">
        <f>Expenditures!V57</f>
        <v>1041550</v>
      </c>
      <c r="W19" s="169">
        <f>Expenditures!W57</f>
        <v>1076740</v>
      </c>
      <c r="X19" s="169">
        <f>Expenditures!X57</f>
        <v>1168680</v>
      </c>
      <c r="Y19" s="169">
        <f>Expenditures!Y57</f>
        <v>1238800.8</v>
      </c>
      <c r="Z19" s="169">
        <f>Expenditures!Z57</f>
        <v>1313128.8480000002</v>
      </c>
      <c r="AA19" s="169">
        <f>Expenditures!AA57</f>
        <v>1391916.5788800002</v>
      </c>
      <c r="AB19" s="169">
        <f>Expenditures!AB57</f>
        <v>1475431.5736128003</v>
      </c>
    </row>
    <row r="20" spans="2:29">
      <c r="B20" s="14" t="s">
        <v>122</v>
      </c>
      <c r="C20" s="169">
        <f>Expenditures!C63</f>
        <v>0</v>
      </c>
      <c r="D20" s="169">
        <f>Expenditures!D63</f>
        <v>0</v>
      </c>
      <c r="E20" s="169">
        <f>Expenditures!E63</f>
        <v>0</v>
      </c>
      <c r="F20" s="169">
        <f>Expenditures!F63</f>
        <v>0</v>
      </c>
      <c r="G20" s="169">
        <f>Expenditures!G63</f>
        <v>0</v>
      </c>
      <c r="H20" s="169">
        <f>Expenditures!H63</f>
        <v>0</v>
      </c>
      <c r="I20" s="169">
        <f>Expenditures!I63</f>
        <v>0</v>
      </c>
      <c r="J20" s="169">
        <f>Expenditures!J63</f>
        <v>0</v>
      </c>
      <c r="K20" s="169">
        <f>Expenditures!K63</f>
        <v>0</v>
      </c>
      <c r="L20" s="169">
        <f>Expenditures!L63</f>
        <v>0</v>
      </c>
      <c r="M20" s="169">
        <f>Expenditures!M63</f>
        <v>0</v>
      </c>
      <c r="N20" s="169">
        <f>Expenditures!N63</f>
        <v>0</v>
      </c>
      <c r="O20" s="169">
        <f>Expenditures!O63</f>
        <v>0</v>
      </c>
      <c r="P20" s="554">
        <f>Expenditures!P63</f>
        <v>0</v>
      </c>
      <c r="Q20" s="169">
        <f>Expenditures!Q63</f>
        <v>0</v>
      </c>
      <c r="R20" s="169">
        <f>Expenditures!R63</f>
        <v>0</v>
      </c>
      <c r="S20" s="169">
        <f>Expenditures!S63</f>
        <v>0</v>
      </c>
      <c r="T20" s="169">
        <f>Expenditures!T63</f>
        <v>90994</v>
      </c>
      <c r="U20" s="169">
        <f>Expenditures!U63</f>
        <v>92102</v>
      </c>
      <c r="V20" s="169">
        <f>Expenditures!V63</f>
        <v>98056</v>
      </c>
      <c r="W20" s="169">
        <f>Expenditures!W63</f>
        <v>96836</v>
      </c>
      <c r="X20" s="169">
        <f>Expenditures!X63</f>
        <v>130263</v>
      </c>
      <c r="Y20" s="169">
        <f>Expenditures!Y63</f>
        <v>145604.38</v>
      </c>
      <c r="Z20" s="169">
        <f>Expenditures!Z63</f>
        <v>152588.23389999999</v>
      </c>
      <c r="AA20" s="169">
        <f>Expenditures!AA63</f>
        <v>157432.33091700001</v>
      </c>
      <c r="AB20" s="169">
        <f>Expenditures!AB63</f>
        <v>162446.43084451</v>
      </c>
    </row>
    <row r="21" spans="2:29">
      <c r="B21" s="14" t="s">
        <v>123</v>
      </c>
      <c r="C21" s="169">
        <f>Expenditures!C69</f>
        <v>0</v>
      </c>
      <c r="D21" s="169">
        <f>Expenditures!D69</f>
        <v>0</v>
      </c>
      <c r="E21" s="169">
        <f>Expenditures!E69</f>
        <v>0</v>
      </c>
      <c r="F21" s="169">
        <f>Expenditures!F69</f>
        <v>0</v>
      </c>
      <c r="G21" s="169">
        <f>Expenditures!G69</f>
        <v>0</v>
      </c>
      <c r="H21" s="169">
        <f>Expenditures!H69</f>
        <v>0</v>
      </c>
      <c r="I21" s="169">
        <f>Expenditures!I69</f>
        <v>0</v>
      </c>
      <c r="J21" s="169">
        <f>Expenditures!J69</f>
        <v>0</v>
      </c>
      <c r="K21" s="169">
        <f>Expenditures!K69</f>
        <v>0</v>
      </c>
      <c r="L21" s="169">
        <f>Expenditures!L69</f>
        <v>0</v>
      </c>
      <c r="M21" s="169">
        <f>Expenditures!M69</f>
        <v>0</v>
      </c>
      <c r="N21" s="169">
        <f>Expenditures!N69</f>
        <v>0</v>
      </c>
      <c r="O21" s="169">
        <f>Expenditures!O69</f>
        <v>0</v>
      </c>
      <c r="P21" s="554">
        <f>Expenditures!P69</f>
        <v>0</v>
      </c>
      <c r="Q21" s="169">
        <f>Expenditures!Q69</f>
        <v>0</v>
      </c>
      <c r="R21" s="169">
        <f>Expenditures!R69</f>
        <v>0</v>
      </c>
      <c r="S21" s="169">
        <f>Expenditures!S69</f>
        <v>0</v>
      </c>
      <c r="T21" s="169">
        <f>Expenditures!T69</f>
        <v>155393</v>
      </c>
      <c r="U21" s="169">
        <f>Expenditures!U69</f>
        <v>158950</v>
      </c>
      <c r="V21" s="169">
        <f>Expenditures!V69</f>
        <v>174284</v>
      </c>
      <c r="W21" s="169">
        <f>Expenditures!W69</f>
        <v>174284</v>
      </c>
      <c r="X21" s="169">
        <f>Expenditures!X69</f>
        <v>188879</v>
      </c>
      <c r="Y21" s="169">
        <f>Expenditures!Y69</f>
        <v>197478</v>
      </c>
      <c r="Z21" s="169">
        <f>Expenditures!Z69</f>
        <v>206481</v>
      </c>
      <c r="AA21" s="169">
        <f>Expenditures!AA69</f>
        <v>215908</v>
      </c>
      <c r="AB21" s="169">
        <f>Expenditures!AB69</f>
        <v>225779</v>
      </c>
    </row>
    <row r="22" spans="2:29">
      <c r="B22" s="14" t="s">
        <v>41</v>
      </c>
      <c r="C22" s="169">
        <f>Expenditures!C79</f>
        <v>0</v>
      </c>
      <c r="D22" s="169">
        <f>Expenditures!D79</f>
        <v>0</v>
      </c>
      <c r="E22" s="169">
        <f>Expenditures!E79</f>
        <v>0</v>
      </c>
      <c r="F22" s="169">
        <f>Expenditures!F79</f>
        <v>0</v>
      </c>
      <c r="G22" s="169">
        <f>Expenditures!G79</f>
        <v>0</v>
      </c>
      <c r="H22" s="169">
        <f>Expenditures!H79</f>
        <v>0</v>
      </c>
      <c r="I22" s="169">
        <f>Expenditures!I79</f>
        <v>0</v>
      </c>
      <c r="J22" s="169">
        <f>Expenditures!J79</f>
        <v>0</v>
      </c>
      <c r="K22" s="169">
        <f>Expenditures!K79</f>
        <v>0</v>
      </c>
      <c r="L22" s="169">
        <f>Expenditures!L79</f>
        <v>0</v>
      </c>
      <c r="M22" s="169">
        <f>Expenditures!M79</f>
        <v>0</v>
      </c>
      <c r="N22" s="169">
        <f>Expenditures!N79</f>
        <v>0</v>
      </c>
      <c r="O22" s="169">
        <f>Expenditures!O79</f>
        <v>0</v>
      </c>
      <c r="P22" s="554">
        <f>Expenditures!P79</f>
        <v>0</v>
      </c>
      <c r="Q22" s="169">
        <f>Expenditures!Q79</f>
        <v>0</v>
      </c>
      <c r="R22" s="169">
        <f>Expenditures!R79</f>
        <v>0</v>
      </c>
      <c r="S22" s="169">
        <f>Expenditures!S79</f>
        <v>0</v>
      </c>
      <c r="T22" s="169">
        <f>Expenditures!T79</f>
        <v>199675</v>
      </c>
      <c r="U22" s="169">
        <f>Expenditures!U79</f>
        <v>477213</v>
      </c>
      <c r="V22" s="169">
        <f>Expenditures!V79</f>
        <v>504563</v>
      </c>
      <c r="W22" s="169">
        <f>Expenditures!W79</f>
        <v>740327</v>
      </c>
      <c r="X22" s="169">
        <f>Expenditures!X79</f>
        <v>2710026</v>
      </c>
      <c r="Y22" s="169">
        <f>Expenditures!Y79</f>
        <v>3388850</v>
      </c>
      <c r="Z22" s="169">
        <f>Expenditures!Z79</f>
        <v>3388300</v>
      </c>
      <c r="AA22" s="169">
        <f>Expenditures!AA79</f>
        <v>3387600</v>
      </c>
      <c r="AB22" s="169">
        <f>Expenditures!AB79</f>
        <v>3386262.5</v>
      </c>
    </row>
    <row r="23" spans="2:29">
      <c r="B23" s="14" t="s">
        <v>45</v>
      </c>
      <c r="C23" s="169">
        <f>Expenditures!C86</f>
        <v>0</v>
      </c>
      <c r="D23" s="169">
        <f>Expenditures!D86</f>
        <v>0</v>
      </c>
      <c r="E23" s="169">
        <f>Expenditures!E86</f>
        <v>0</v>
      </c>
      <c r="F23" s="169">
        <f>Expenditures!F86</f>
        <v>0</v>
      </c>
      <c r="G23" s="169">
        <f>Expenditures!G86</f>
        <v>0</v>
      </c>
      <c r="H23" s="169">
        <f>Expenditures!H86</f>
        <v>0</v>
      </c>
      <c r="I23" s="169">
        <f>Expenditures!I86</f>
        <v>0</v>
      </c>
      <c r="J23" s="169">
        <f>Expenditures!J86</f>
        <v>0</v>
      </c>
      <c r="K23" s="169">
        <f>Expenditures!K86</f>
        <v>0</v>
      </c>
      <c r="L23" s="169">
        <f>Expenditures!L86</f>
        <v>0</v>
      </c>
      <c r="M23" s="169">
        <f>Expenditures!M86</f>
        <v>0</v>
      </c>
      <c r="N23" s="169">
        <f>Expenditures!N86</f>
        <v>0</v>
      </c>
      <c r="O23" s="169">
        <f>Expenditures!O86</f>
        <v>0</v>
      </c>
      <c r="P23" s="554">
        <f>Expenditures!P86</f>
        <v>0</v>
      </c>
      <c r="Q23" s="169">
        <f>Expenditures!Q86</f>
        <v>0</v>
      </c>
      <c r="R23" s="169">
        <f>Expenditures!R86</f>
        <v>0</v>
      </c>
      <c r="S23" s="169">
        <f>Expenditures!S86</f>
        <v>0</v>
      </c>
      <c r="T23" s="169">
        <f>Expenditures!T86</f>
        <v>281019</v>
      </c>
      <c r="U23" s="169">
        <f>Expenditures!U86</f>
        <v>295277</v>
      </c>
      <c r="V23" s="169">
        <f>Expenditures!V86</f>
        <v>377140</v>
      </c>
      <c r="W23" s="169">
        <f>Expenditures!W86</f>
        <v>375247</v>
      </c>
      <c r="X23" s="169">
        <f>Expenditures!X86</f>
        <v>380077</v>
      </c>
      <c r="Y23" s="169">
        <f>Expenditures!Y86</f>
        <v>405785</v>
      </c>
      <c r="Z23" s="169">
        <f>Expenditures!Z86</f>
        <v>433300</v>
      </c>
      <c r="AA23" s="169">
        <f>Expenditures!AA86</f>
        <v>462753</v>
      </c>
      <c r="AB23" s="169">
        <f>Expenditures!AB86</f>
        <v>494284</v>
      </c>
    </row>
    <row r="24" spans="2:29">
      <c r="B24" s="14" t="s">
        <v>49</v>
      </c>
      <c r="C24" s="169">
        <f>Expenditures!C92</f>
        <v>0</v>
      </c>
      <c r="D24" s="169">
        <f>Expenditures!D92</f>
        <v>0</v>
      </c>
      <c r="E24" s="169">
        <f>Expenditures!E92</f>
        <v>0</v>
      </c>
      <c r="F24" s="169">
        <f>Expenditures!F92</f>
        <v>0</v>
      </c>
      <c r="G24" s="169">
        <f>Expenditures!G92</f>
        <v>0</v>
      </c>
      <c r="H24" s="169">
        <f>Expenditures!H92</f>
        <v>0</v>
      </c>
      <c r="I24" s="169">
        <f>Expenditures!I92</f>
        <v>0</v>
      </c>
      <c r="J24" s="169">
        <f>Expenditures!J92</f>
        <v>0</v>
      </c>
      <c r="K24" s="169">
        <f>Expenditures!K92</f>
        <v>0</v>
      </c>
      <c r="L24" s="169">
        <f>Expenditures!L92</f>
        <v>0</v>
      </c>
      <c r="M24" s="169">
        <f>Expenditures!M92</f>
        <v>0</v>
      </c>
      <c r="N24" s="169">
        <f>Expenditures!N92</f>
        <v>0</v>
      </c>
      <c r="O24" s="169">
        <f>Expenditures!O92</f>
        <v>0</v>
      </c>
      <c r="P24" s="554">
        <f>Expenditures!P92</f>
        <v>0</v>
      </c>
      <c r="Q24" s="169">
        <f>Expenditures!Q92</f>
        <v>0</v>
      </c>
      <c r="R24" s="169">
        <f>Expenditures!R92</f>
        <v>0</v>
      </c>
      <c r="S24" s="169">
        <f>Expenditures!S92</f>
        <v>0</v>
      </c>
      <c r="T24" s="169">
        <f>Expenditures!T92</f>
        <v>2306019</v>
      </c>
      <c r="U24" s="169">
        <f>Expenditures!U92</f>
        <v>2445774</v>
      </c>
      <c r="V24" s="169">
        <f>Expenditures!V92</f>
        <v>2600512</v>
      </c>
      <c r="W24" s="169">
        <f>Expenditures!W92</f>
        <v>2829390</v>
      </c>
      <c r="X24" s="169">
        <f>Expenditures!X92</f>
        <v>2981222</v>
      </c>
      <c r="Y24" s="169">
        <f>Expenditures!Y92</f>
        <v>3256118</v>
      </c>
      <c r="Z24" s="169">
        <f>Expenditures!Z92</f>
        <v>3557037</v>
      </c>
      <c r="AA24" s="169">
        <f>Expenditures!AA92</f>
        <v>3886474</v>
      </c>
      <c r="AB24" s="169">
        <f>Expenditures!AB92</f>
        <v>4247166</v>
      </c>
    </row>
    <row r="25" spans="2:29">
      <c r="B25" s="14" t="s">
        <v>124</v>
      </c>
      <c r="C25" s="169">
        <f>Expenditures!C106</f>
        <v>0</v>
      </c>
      <c r="D25" s="169">
        <f>Expenditures!D106</f>
        <v>0</v>
      </c>
      <c r="E25" s="169">
        <f>Expenditures!E106</f>
        <v>0</v>
      </c>
      <c r="F25" s="169">
        <f>Expenditures!F106</f>
        <v>0</v>
      </c>
      <c r="G25" s="169">
        <f>Expenditures!G106</f>
        <v>0</v>
      </c>
      <c r="H25" s="169">
        <f>Expenditures!H106</f>
        <v>0</v>
      </c>
      <c r="I25" s="169">
        <f>Expenditures!I106</f>
        <v>0</v>
      </c>
      <c r="J25" s="169">
        <f>Expenditures!J106</f>
        <v>0</v>
      </c>
      <c r="K25" s="169">
        <f>Expenditures!K106</f>
        <v>0</v>
      </c>
      <c r="L25" s="169">
        <f>Expenditures!L106</f>
        <v>0</v>
      </c>
      <c r="M25" s="169">
        <f>Expenditures!M106</f>
        <v>0</v>
      </c>
      <c r="N25" s="169">
        <f>Expenditures!N106</f>
        <v>0</v>
      </c>
      <c r="O25" s="169">
        <f>Expenditures!O106</f>
        <v>0</v>
      </c>
      <c r="P25" s="554">
        <f>Expenditures!P106</f>
        <v>0</v>
      </c>
      <c r="Q25" s="169">
        <f>Expenditures!Q106</f>
        <v>0</v>
      </c>
      <c r="R25" s="169">
        <f>Expenditures!R106</f>
        <v>0</v>
      </c>
      <c r="S25" s="169">
        <f>Expenditures!S106</f>
        <v>0</v>
      </c>
      <c r="T25" s="169">
        <f>Expenditures!T106</f>
        <v>25000</v>
      </c>
      <c r="U25" s="169">
        <f>Expenditures!U106</f>
        <v>25000</v>
      </c>
      <c r="V25" s="169">
        <f>Expenditures!V106</f>
        <v>150399</v>
      </c>
      <c r="W25" s="169">
        <f>Expenditures!W106</f>
        <v>174434</v>
      </c>
      <c r="X25" s="169">
        <f>Expenditures!X106</f>
        <v>174434</v>
      </c>
      <c r="Y25" s="169">
        <f>Expenditures!Y106</f>
        <v>183400.04</v>
      </c>
      <c r="Z25" s="169">
        <f>Expenditures!Z106</f>
        <v>192904.04240000001</v>
      </c>
      <c r="AA25" s="169">
        <f>Expenditures!AA106</f>
        <v>202978.28494400001</v>
      </c>
      <c r="AB25" s="169">
        <f>Expenditures!AB106</f>
        <v>213656.98204064002</v>
      </c>
    </row>
    <row r="26" spans="2:29">
      <c r="B26" s="14" t="s">
        <v>54</v>
      </c>
      <c r="C26" s="169">
        <f>Expenditures!C109</f>
        <v>0</v>
      </c>
      <c r="D26" s="169">
        <f>Expenditures!D109</f>
        <v>0</v>
      </c>
      <c r="E26" s="169">
        <f>Expenditures!E109</f>
        <v>0</v>
      </c>
      <c r="F26" s="169">
        <f>Expenditures!F109</f>
        <v>0</v>
      </c>
      <c r="G26" s="169">
        <f>Expenditures!G109</f>
        <v>221559</v>
      </c>
      <c r="H26" s="169">
        <f>Expenditures!H109</f>
        <v>238138</v>
      </c>
      <c r="I26" s="169">
        <f>Expenditures!I109</f>
        <v>175191</v>
      </c>
      <c r="J26" s="169">
        <f>Expenditures!J109</f>
        <v>187734</v>
      </c>
      <c r="K26" s="169">
        <f>Expenditures!K109</f>
        <v>178700</v>
      </c>
      <c r="L26" s="169">
        <f>Expenditures!L109</f>
        <v>192600</v>
      </c>
      <c r="M26" s="169">
        <f>Expenditures!M109</f>
        <v>200688</v>
      </c>
      <c r="N26" s="169">
        <f>Expenditures!N109</f>
        <v>178618</v>
      </c>
      <c r="O26" s="169">
        <f>Expenditures!O109</f>
        <v>197213</v>
      </c>
      <c r="P26" s="554">
        <f>Expenditures!P109</f>
        <v>208858</v>
      </c>
      <c r="Q26" s="169">
        <f>Expenditures!Q109</f>
        <v>238436</v>
      </c>
      <c r="R26" s="169">
        <f>Expenditures!R109</f>
        <v>271346</v>
      </c>
      <c r="S26" s="169">
        <f>Expenditures!S109</f>
        <v>276278</v>
      </c>
      <c r="T26" s="169">
        <f>Expenditures!T109</f>
        <v>270176</v>
      </c>
      <c r="U26" s="169">
        <f>Expenditures!U109</f>
        <v>256164</v>
      </c>
      <c r="V26" s="169">
        <f>Expenditures!V109</f>
        <v>292128</v>
      </c>
      <c r="W26" s="169">
        <f>Expenditures!W109</f>
        <v>260591.72500000001</v>
      </c>
      <c r="X26" s="169">
        <f>Expenditures!X109</f>
        <v>267183</v>
      </c>
      <c r="Y26" s="169">
        <f>Expenditures!Y109</f>
        <v>282442.78000000003</v>
      </c>
      <c r="Z26" s="169">
        <f>Expenditures!Z109</f>
        <v>299868.97259999998</v>
      </c>
      <c r="AA26" s="169">
        <f>Expenditures!AA109</f>
        <v>319870.67781700002</v>
      </c>
      <c r="AB26" s="169">
        <f>Expenditures!AB109</f>
        <v>342938.09036806499</v>
      </c>
    </row>
    <row r="27" spans="2:29">
      <c r="B27" s="14" t="s">
        <v>125</v>
      </c>
      <c r="C27" s="169">
        <f>Expenditures!C116</f>
        <v>71860.44</v>
      </c>
      <c r="D27" s="169">
        <f>Expenditures!D116</f>
        <v>76981.52</v>
      </c>
      <c r="E27" s="169">
        <f>Expenditures!E116</f>
        <v>56668.74</v>
      </c>
      <c r="F27" s="169">
        <f>Expenditures!F116</f>
        <v>93125.96</v>
      </c>
      <c r="G27" s="169">
        <f>Expenditures!G116</f>
        <v>176334.34</v>
      </c>
      <c r="H27" s="169">
        <f>Expenditures!H116</f>
        <v>185746.65</v>
      </c>
      <c r="I27" s="169">
        <f>Expenditures!I116</f>
        <v>195545.78</v>
      </c>
      <c r="J27" s="169">
        <f>Expenditures!J116</f>
        <v>283324</v>
      </c>
      <c r="K27" s="169">
        <f>Expenditures!K116</f>
        <v>356906.35</v>
      </c>
      <c r="L27" s="169">
        <f>Expenditures!L116</f>
        <v>429379.7</v>
      </c>
      <c r="M27" s="169">
        <f>Expenditures!M116</f>
        <v>481680.7</v>
      </c>
      <c r="N27" s="169">
        <f>Expenditures!N116</f>
        <v>608377.32000000007</v>
      </c>
      <c r="O27" s="169">
        <f>Expenditures!O116</f>
        <v>628363.14</v>
      </c>
      <c r="P27" s="554">
        <f>Expenditures!P116</f>
        <v>614616.03</v>
      </c>
      <c r="Q27" s="169">
        <f>Expenditures!Q116</f>
        <v>638429.82999999996</v>
      </c>
      <c r="R27" s="169">
        <f>Expenditures!R116</f>
        <v>779335.92999999993</v>
      </c>
      <c r="S27" s="169">
        <f>Expenditures!S116</f>
        <v>784186.11</v>
      </c>
      <c r="T27" s="169">
        <f>Expenditures!T116</f>
        <v>791771.82000000007</v>
      </c>
      <c r="U27" s="169">
        <f>Expenditures!U116</f>
        <v>854212.15</v>
      </c>
      <c r="V27" s="169">
        <f>Expenditures!V116</f>
        <v>1020997.09</v>
      </c>
      <c r="W27" s="169">
        <f>Expenditures!W116</f>
        <v>1094309</v>
      </c>
      <c r="X27" s="169">
        <f>Expenditures!X116</f>
        <v>1272178</v>
      </c>
      <c r="Y27" s="169">
        <f>Expenditures!Y116</f>
        <v>1376157.6600000001</v>
      </c>
      <c r="Z27" s="169">
        <f>Expenditures!Z116</f>
        <v>1481631.8222000003</v>
      </c>
      <c r="AA27" s="169">
        <f>Expenditures!AA116</f>
        <v>1595353.4378340004</v>
      </c>
      <c r="AB27" s="169">
        <f>Expenditures!AB116</f>
        <v>1717974.1492087806</v>
      </c>
    </row>
    <row r="28" spans="2:29">
      <c r="B28" s="14" t="s">
        <v>64</v>
      </c>
      <c r="C28" s="169">
        <f>Expenditures!C126</f>
        <v>0</v>
      </c>
      <c r="D28" s="169">
        <f>Expenditures!D126</f>
        <v>0</v>
      </c>
      <c r="E28" s="169">
        <f>Expenditures!E126</f>
        <v>0</v>
      </c>
      <c r="F28" s="169">
        <f>Expenditures!F126</f>
        <v>0</v>
      </c>
      <c r="G28" s="169">
        <f>Expenditures!G126</f>
        <v>0</v>
      </c>
      <c r="H28" s="169">
        <f>Expenditures!H126</f>
        <v>0</v>
      </c>
      <c r="I28" s="169">
        <f>Expenditures!I126</f>
        <v>0</v>
      </c>
      <c r="J28" s="169">
        <f>Expenditures!J126</f>
        <v>0</v>
      </c>
      <c r="K28" s="169">
        <f>Expenditures!K126</f>
        <v>0</v>
      </c>
      <c r="L28" s="169">
        <f>Expenditures!L126</f>
        <v>0</v>
      </c>
      <c r="M28" s="169">
        <f>Expenditures!M126</f>
        <v>0</v>
      </c>
      <c r="N28" s="169">
        <f>Expenditures!N126</f>
        <v>0</v>
      </c>
      <c r="O28" s="169">
        <f>Expenditures!O126</f>
        <v>1644012</v>
      </c>
      <c r="P28" s="554">
        <f>Expenditures!P126</f>
        <v>2555112</v>
      </c>
      <c r="Q28" s="169">
        <f>Expenditures!Q126</f>
        <v>2618990</v>
      </c>
      <c r="R28" s="169">
        <f>Expenditures!R126</f>
        <v>2684465</v>
      </c>
      <c r="S28" s="169">
        <f>Expenditures!S126</f>
        <v>2751577</v>
      </c>
      <c r="T28" s="169">
        <f>Expenditures!T126</f>
        <v>2842810</v>
      </c>
      <c r="U28" s="169">
        <f>Expenditures!U126</f>
        <v>3403791</v>
      </c>
      <c r="V28" s="169">
        <f>Expenditures!V126</f>
        <v>2963146</v>
      </c>
      <c r="W28" s="169">
        <f>Expenditures!W126</f>
        <v>3037224.65</v>
      </c>
      <c r="X28" s="169">
        <f>Expenditures!X126</f>
        <v>3113155.2662499994</v>
      </c>
      <c r="Y28" s="169">
        <f>Expenditures!Y126</f>
        <v>3190984.1479062489</v>
      </c>
      <c r="Z28" s="169">
        <f>Expenditures!Z126</f>
        <v>3270758.7516039046</v>
      </c>
      <c r="AA28" s="169">
        <f>Expenditures!AA126</f>
        <v>3352527.7203940018</v>
      </c>
      <c r="AB28" s="169">
        <f>Expenditures!AB126</f>
        <v>3436340.9134038514</v>
      </c>
    </row>
    <row r="29" spans="2:29">
      <c r="B29" s="14" t="s">
        <v>126</v>
      </c>
      <c r="C29" s="169">
        <f>Expenditures!C128</f>
        <v>0</v>
      </c>
      <c r="D29" s="169">
        <f>Expenditures!D128</f>
        <v>0</v>
      </c>
      <c r="E29" s="169">
        <f>Expenditures!E128</f>
        <v>0</v>
      </c>
      <c r="F29" s="169">
        <f>Expenditures!F128</f>
        <v>0</v>
      </c>
      <c r="G29" s="169">
        <f>Expenditures!G128</f>
        <v>0</v>
      </c>
      <c r="H29" s="169">
        <f>Expenditures!H128</f>
        <v>0</v>
      </c>
      <c r="I29" s="169">
        <f>Expenditures!I128</f>
        <v>0</v>
      </c>
      <c r="J29" s="169">
        <f>Expenditures!J128</f>
        <v>0</v>
      </c>
      <c r="K29" s="169">
        <f>Expenditures!K128</f>
        <v>0</v>
      </c>
      <c r="L29" s="169">
        <f>Expenditures!L128</f>
        <v>0</v>
      </c>
      <c r="M29" s="169">
        <f>Expenditures!M128</f>
        <v>0</v>
      </c>
      <c r="N29" s="169">
        <f>Expenditures!N128</f>
        <v>0</v>
      </c>
      <c r="O29" s="169">
        <f>Expenditures!O128</f>
        <v>0</v>
      </c>
      <c r="P29" s="554">
        <f>Expenditures!P128</f>
        <v>0</v>
      </c>
      <c r="Q29" s="169">
        <f>Expenditures!Q128</f>
        <v>0</v>
      </c>
      <c r="R29" s="169">
        <f>Expenditures!R128</f>
        <v>0</v>
      </c>
      <c r="S29" s="169">
        <f>Expenditures!S128</f>
        <v>0</v>
      </c>
      <c r="T29" s="169">
        <f>Expenditures!T128</f>
        <v>0</v>
      </c>
      <c r="U29" s="169">
        <f>Expenditures!U128</f>
        <v>0</v>
      </c>
      <c r="V29" s="169">
        <f>Expenditures!V128</f>
        <v>0</v>
      </c>
      <c r="W29" s="169">
        <f>Expenditures!W128</f>
        <v>0</v>
      </c>
      <c r="X29" s="169">
        <f>Expenditures!X128</f>
        <v>0</v>
      </c>
      <c r="Y29" s="169">
        <f>Expenditures!Y128</f>
        <v>0</v>
      </c>
      <c r="Z29" s="169">
        <f>Expenditures!Z128</f>
        <v>0</v>
      </c>
      <c r="AA29" s="169">
        <f>Expenditures!AA38</f>
        <v>0</v>
      </c>
      <c r="AB29" s="169">
        <f>Expenditures!AB128</f>
        <v>0</v>
      </c>
    </row>
    <row r="30" spans="2:29">
      <c r="B30" s="805" t="s">
        <v>127</v>
      </c>
      <c r="C30" s="806">
        <f t="shared" ref="C30:K30" si="11">SUM(C16:C29)</f>
        <v>71860.44</v>
      </c>
      <c r="D30" s="806">
        <f t="shared" si="11"/>
        <v>76981.52</v>
      </c>
      <c r="E30" s="806">
        <f t="shared" si="11"/>
        <v>56668.74</v>
      </c>
      <c r="F30" s="806">
        <f t="shared" si="11"/>
        <v>93125.96</v>
      </c>
      <c r="G30" s="806">
        <f t="shared" si="11"/>
        <v>397893.33999999997</v>
      </c>
      <c r="H30" s="806">
        <f t="shared" si="11"/>
        <v>423884.65</v>
      </c>
      <c r="I30" s="806">
        <f t="shared" si="11"/>
        <v>370736.78</v>
      </c>
      <c r="J30" s="806">
        <f t="shared" si="11"/>
        <v>471058</v>
      </c>
      <c r="K30" s="806">
        <f t="shared" si="11"/>
        <v>535606.35</v>
      </c>
      <c r="L30" s="806">
        <f t="shared" ref="L30:U30" si="12">SUM(L16:L29)</f>
        <v>621979.69999999995</v>
      </c>
      <c r="M30" s="806">
        <f t="shared" si="12"/>
        <v>682368.7</v>
      </c>
      <c r="N30" s="806">
        <f>SUM(N16:N29)</f>
        <v>786995.32000000007</v>
      </c>
      <c r="O30" s="806">
        <f t="shared" si="12"/>
        <v>2469588.14</v>
      </c>
      <c r="P30" s="806">
        <f t="shared" si="12"/>
        <v>3378586.0300000003</v>
      </c>
      <c r="Q30" s="806">
        <f t="shared" si="12"/>
        <v>3495855.83</v>
      </c>
      <c r="R30" s="806">
        <f t="shared" si="12"/>
        <v>3735146.9299999997</v>
      </c>
      <c r="S30" s="806">
        <f t="shared" si="12"/>
        <v>3812041.11</v>
      </c>
      <c r="T30" s="806">
        <f t="shared" si="12"/>
        <v>24472628.82</v>
      </c>
      <c r="U30" s="806">
        <f t="shared" si="12"/>
        <v>27062423.149999999</v>
      </c>
      <c r="V30" s="806">
        <f t="shared" ref="V30:W30" si="13">SUM(V16:V29)</f>
        <v>28052988.09</v>
      </c>
      <c r="W30" s="806">
        <f t="shared" si="13"/>
        <v>29932146.375</v>
      </c>
      <c r="X30" s="806">
        <f t="shared" ref="X30:Y30" si="14">SUM(X16:X29)</f>
        <v>35139934.60125</v>
      </c>
      <c r="Y30" s="806">
        <f t="shared" si="14"/>
        <v>37693723.745904975</v>
      </c>
      <c r="Z30" s="806">
        <f t="shared" ref="Z30:AB30" si="15">SUM(Z16:Z29)</f>
        <v>39595641.767326236</v>
      </c>
      <c r="AA30" s="806">
        <f>SUM(AA16:AA29)</f>
        <v>41394332.959489681</v>
      </c>
      <c r="AB30" s="806">
        <f t="shared" si="15"/>
        <v>43369271.958146408</v>
      </c>
      <c r="AC30" s="106" t="s">
        <v>128</v>
      </c>
    </row>
    <row r="31" spans="2:29">
      <c r="B31" s="787" t="s">
        <v>129</v>
      </c>
      <c r="C31" s="788">
        <f t="shared" ref="C31:V31" si="16">C12-C30</f>
        <v>6471017.5599999996</v>
      </c>
      <c r="D31" s="788">
        <f t="shared" si="16"/>
        <v>6732747.4400000004</v>
      </c>
      <c r="E31" s="788">
        <f t="shared" si="16"/>
        <v>6522802.4299999997</v>
      </c>
      <c r="F31" s="788">
        <f t="shared" si="16"/>
        <v>7170398.04</v>
      </c>
      <c r="G31" s="788">
        <f t="shared" si="16"/>
        <v>14107429.66</v>
      </c>
      <c r="H31" s="788">
        <f t="shared" si="16"/>
        <v>15271911.35</v>
      </c>
      <c r="I31" s="788">
        <f t="shared" si="16"/>
        <v>13909212.220000001</v>
      </c>
      <c r="J31" s="788">
        <f t="shared" si="16"/>
        <v>13952969</v>
      </c>
      <c r="K31" s="788">
        <f t="shared" si="16"/>
        <v>14605671.65</v>
      </c>
      <c r="L31" s="788">
        <f t="shared" si="16"/>
        <v>15364158.300000001</v>
      </c>
      <c r="M31" s="788">
        <f t="shared" si="16"/>
        <v>16296975.300000001</v>
      </c>
      <c r="N31" s="788">
        <f t="shared" si="16"/>
        <v>17870457.68</v>
      </c>
      <c r="O31" s="788">
        <f t="shared" si="16"/>
        <v>16649300.859999999</v>
      </c>
      <c r="P31" s="788">
        <f t="shared" si="16"/>
        <v>16959027.969999999</v>
      </c>
      <c r="Q31" s="788">
        <f t="shared" si="16"/>
        <v>17508523.170000002</v>
      </c>
      <c r="R31" s="788">
        <f t="shared" si="16"/>
        <v>20025104.07</v>
      </c>
      <c r="S31" s="788">
        <f t="shared" si="16"/>
        <v>20203353.890000001</v>
      </c>
      <c r="T31" s="788">
        <f t="shared" si="16"/>
        <v>1506387.1799999997</v>
      </c>
      <c r="U31" s="788">
        <f t="shared" si="16"/>
        <v>176785.71000000089</v>
      </c>
      <c r="V31" s="788">
        <f t="shared" si="16"/>
        <v>-25298.209999997169</v>
      </c>
      <c r="W31" s="788">
        <f t="shared" ref="W31:X31" si="17">W12-W30</f>
        <v>176639.27499999851</v>
      </c>
      <c r="X31" s="788">
        <f t="shared" si="17"/>
        <v>1770501.6649999991</v>
      </c>
      <c r="Y31" s="788">
        <f t="shared" ref="Y31:Z31" si="18">Y12-Y30</f>
        <v>964570.35700127482</v>
      </c>
      <c r="Z31" s="788">
        <f t="shared" si="18"/>
        <v>74001.064692668617</v>
      </c>
      <c r="AA31" s="788">
        <f t="shared" ref="AA31:AB31" si="19">AA12-AA30</f>
        <v>-712068.29374178499</v>
      </c>
      <c r="AB31" s="788">
        <f t="shared" si="19"/>
        <v>-1644363.7173292935</v>
      </c>
      <c r="AC31" s="24">
        <f>SUM(X31:AB31)</f>
        <v>452641.07562286407</v>
      </c>
    </row>
    <row r="32" spans="2:29">
      <c r="B32" s="807" t="s">
        <v>130</v>
      </c>
      <c r="C32" s="808" t="str">
        <f t="shared" ref="C32:L32" si="20">IFERROR((C30-B30)/B30,"")</f>
        <v/>
      </c>
      <c r="D32" s="808">
        <f t="shared" si="20"/>
        <v>7.1264244972616395E-2</v>
      </c>
      <c r="E32" s="808">
        <f t="shared" si="20"/>
        <v>-0.26386566542203904</v>
      </c>
      <c r="F32" s="808">
        <f t="shared" si="20"/>
        <v>0.64333916723752826</v>
      </c>
      <c r="G32" s="808">
        <f t="shared" si="20"/>
        <v>3.2726361156438002</v>
      </c>
      <c r="H32" s="808">
        <f t="shared" si="20"/>
        <v>6.5322304716133373E-2</v>
      </c>
      <c r="I32" s="808">
        <f t="shared" si="20"/>
        <v>-0.12538286064380957</v>
      </c>
      <c r="J32" s="808">
        <f t="shared" si="20"/>
        <v>0.27059958820379237</v>
      </c>
      <c r="K32" s="808">
        <f t="shared" si="20"/>
        <v>0.13702845509470166</v>
      </c>
      <c r="L32" s="808">
        <f t="shared" si="20"/>
        <v>0.16126274455110545</v>
      </c>
      <c r="M32" s="808">
        <f>IFERROR((M30-L30)/L30,"")</f>
        <v>9.7091593182221228E-2</v>
      </c>
      <c r="N32" s="808">
        <f t="shared" ref="N32:Z32" si="21">IFERROR((N30-M30)/M30,"")</f>
        <v>0.15332857442025127</v>
      </c>
      <c r="O32" s="808">
        <f t="shared" si="21"/>
        <v>2.137995966735863</v>
      </c>
      <c r="P32" s="808">
        <f t="shared" si="21"/>
        <v>0.3680767150104633</v>
      </c>
      <c r="Q32" s="808">
        <f t="shared" si="21"/>
        <v>3.4709727370772263E-2</v>
      </c>
      <c r="R32" s="808">
        <f t="shared" si="21"/>
        <v>6.8449933760569195E-2</v>
      </c>
      <c r="S32" s="808">
        <f t="shared" si="21"/>
        <v>2.0586654672778877E-2</v>
      </c>
      <c r="T32" s="808">
        <f t="shared" si="21"/>
        <v>5.4198229016475645</v>
      </c>
      <c r="U32" s="808">
        <f t="shared" si="21"/>
        <v>0.10582411677340997</v>
      </c>
      <c r="V32" s="808">
        <f t="shared" si="21"/>
        <v>3.6602965466527387E-2</v>
      </c>
      <c r="W32" s="808">
        <f t="shared" si="21"/>
        <v>6.6986029401618727E-2</v>
      </c>
      <c r="X32" s="808">
        <f t="shared" si="21"/>
        <v>0.17398646127828848</v>
      </c>
      <c r="Y32" s="808">
        <f t="shared" si="21"/>
        <v>7.2674840566269314E-2</v>
      </c>
      <c r="Z32" s="808">
        <f t="shared" si="21"/>
        <v>5.0457153934755104E-2</v>
      </c>
      <c r="AA32" s="808">
        <f t="shared" ref="AA32" si="22">IFERROR((AA30-Z30)/Z30,"")</f>
        <v>4.5426494227142435E-2</v>
      </c>
      <c r="AB32" s="808">
        <f t="shared" ref="AB32" si="23">IFERROR((AB30-AA30)/AA30,"")</f>
        <v>4.7710371383191265E-2</v>
      </c>
    </row>
    <row r="33" spans="1:28">
      <c r="N33" s="208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</row>
    <row r="34" spans="1:28">
      <c r="B34" s="12" t="s">
        <v>68</v>
      </c>
      <c r="C34" s="25"/>
      <c r="D34" s="25"/>
      <c r="E34" s="25"/>
      <c r="F34" s="25"/>
      <c r="G34" s="25"/>
      <c r="H34" s="25"/>
      <c r="I34" s="25"/>
      <c r="J34" s="25"/>
      <c r="K34" s="25"/>
      <c r="N34" s="208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</row>
    <row r="35" spans="1:28">
      <c r="B35" s="14" t="s">
        <v>131</v>
      </c>
      <c r="C35" s="363">
        <f>'Enterprise Funds'!C14+'Enterprise Funds'!C49</f>
        <v>0</v>
      </c>
      <c r="D35" s="363">
        <f>'Enterprise Funds'!D14+'Enterprise Funds'!D49</f>
        <v>0</v>
      </c>
      <c r="E35" s="363">
        <f>'Enterprise Funds'!E14+'Enterprise Funds'!E49</f>
        <v>0</v>
      </c>
      <c r="F35" s="363">
        <f>'Enterprise Funds'!F14+'Enterprise Funds'!F49</f>
        <v>0</v>
      </c>
      <c r="G35" s="363">
        <f>'Enterprise Funds'!G14+'Enterprise Funds'!G49</f>
        <v>0</v>
      </c>
      <c r="H35" s="363">
        <f>'Enterprise Funds'!H14+'Enterprise Funds'!H49</f>
        <v>0</v>
      </c>
      <c r="I35" s="363">
        <f>'Enterprise Funds'!I14+'Enterprise Funds'!I49</f>
        <v>0</v>
      </c>
      <c r="J35" s="363">
        <f>'Enterprise Funds'!J14+'Enterprise Funds'!J49</f>
        <v>0</v>
      </c>
      <c r="K35" s="363">
        <f>'Enterprise Funds'!K14+'Enterprise Funds'!K49</f>
        <v>0</v>
      </c>
      <c r="L35" s="363">
        <f>'Enterprise Funds'!L14+'Enterprise Funds'!L49</f>
        <v>0</v>
      </c>
      <c r="M35" s="363">
        <f>'Enterprise Funds'!M14+'Enterprise Funds'!M49</f>
        <v>0</v>
      </c>
      <c r="N35" s="363">
        <f>'Enterprise Funds'!N14+'Enterprise Funds'!N49</f>
        <v>0</v>
      </c>
      <c r="O35" s="363">
        <f>'Enterprise Funds'!O14+'Enterprise Funds'!O49</f>
        <v>0</v>
      </c>
      <c r="P35" s="363">
        <f>Revenue!P50</f>
        <v>0</v>
      </c>
      <c r="Q35" s="363">
        <f>Revenue!Q50</f>
        <v>0</v>
      </c>
      <c r="R35" s="363">
        <f>Revenue!R50</f>
        <v>0</v>
      </c>
      <c r="S35" s="363">
        <f>Revenue!S50</f>
        <v>0</v>
      </c>
      <c r="T35" s="363">
        <f>Revenue!T50</f>
        <v>0</v>
      </c>
      <c r="U35" s="363">
        <f>Revenue!U50</f>
        <v>0</v>
      </c>
      <c r="V35" s="363">
        <f>Revenue!V50</f>
        <v>0</v>
      </c>
      <c r="W35" s="363">
        <f>Revenue!W50</f>
        <v>0</v>
      </c>
      <c r="X35" s="363">
        <f>Revenue!X50</f>
        <v>0</v>
      </c>
      <c r="Y35" s="363">
        <f>Revenue!Y50</f>
        <v>0</v>
      </c>
      <c r="Z35" s="363">
        <f>Revenue!AC50</f>
        <v>0</v>
      </c>
      <c r="AA35" s="363">
        <f>Revenue!AD50</f>
        <v>0</v>
      </c>
      <c r="AB35" s="363">
        <f>Revenue!AE50</f>
        <v>0</v>
      </c>
    </row>
    <row r="36" spans="1:28">
      <c r="B36" s="14" t="s">
        <v>132</v>
      </c>
      <c r="C36" s="363">
        <f>'Enterprise Funds'!C28+'Enterprise Funds'!C29+'Enterprise Funds'!C63+'Enterprise Funds'!C64</f>
        <v>0</v>
      </c>
      <c r="D36" s="363">
        <f>'Enterprise Funds'!D28+'Enterprise Funds'!D29+'Enterprise Funds'!D63+'Enterprise Funds'!D64</f>
        <v>0</v>
      </c>
      <c r="E36" s="363">
        <f>'Enterprise Funds'!E28+'Enterprise Funds'!E29+'Enterprise Funds'!E63+'Enterprise Funds'!E64</f>
        <v>0</v>
      </c>
      <c r="F36" s="363">
        <f>'Enterprise Funds'!F28+'Enterprise Funds'!F29+'Enterprise Funds'!F63+'Enterprise Funds'!F64</f>
        <v>0</v>
      </c>
      <c r="G36" s="363">
        <f>'Enterprise Funds'!G28+'Enterprise Funds'!G29+'Enterprise Funds'!G63+'Enterprise Funds'!G64</f>
        <v>0</v>
      </c>
      <c r="H36" s="363">
        <f>'Enterprise Funds'!H28+'Enterprise Funds'!H29+'Enterprise Funds'!H63+'Enterprise Funds'!H64</f>
        <v>0</v>
      </c>
      <c r="I36" s="363">
        <f>'Enterprise Funds'!I28+'Enterprise Funds'!I29+'Enterprise Funds'!I63+'Enterprise Funds'!I64</f>
        <v>0</v>
      </c>
      <c r="J36" s="363">
        <f>'Enterprise Funds'!J28+'Enterprise Funds'!J29+'Enterprise Funds'!J63+'Enterprise Funds'!J64</f>
        <v>0</v>
      </c>
      <c r="K36" s="363">
        <f>'Enterprise Funds'!K28+'Enterprise Funds'!K29+'Enterprise Funds'!K63+'Enterprise Funds'!K64</f>
        <v>0</v>
      </c>
      <c r="L36" s="363">
        <f>'Enterprise Funds'!L28+'Enterprise Funds'!L29+'Enterprise Funds'!L63+'Enterprise Funds'!L64</f>
        <v>0</v>
      </c>
      <c r="M36" s="363">
        <f>'Enterprise Funds'!M28+'Enterprise Funds'!M29+'Enterprise Funds'!M63+'Enterprise Funds'!M64</f>
        <v>0</v>
      </c>
      <c r="N36" s="363">
        <f>'Enterprise Funds'!N28+'Enterprise Funds'!N29+'Enterprise Funds'!N63+'Enterprise Funds'!N64</f>
        <v>0</v>
      </c>
      <c r="O36" s="363">
        <f>'Enterprise Funds'!O28+'Enterprise Funds'!O29+'Enterprise Funds'!O63+'Enterprise Funds'!O64</f>
        <v>0</v>
      </c>
      <c r="P36" s="363">
        <f>'Enterprise Funds'!P28+'Enterprise Funds'!P29+'Enterprise Funds'!P63+'Enterprise Funds'!P64</f>
        <v>0</v>
      </c>
      <c r="Q36" s="363">
        <f>'Enterprise Funds'!Q28+'Enterprise Funds'!Q29+'Enterprise Funds'!Q63+'Enterprise Funds'!Q64</f>
        <v>0</v>
      </c>
      <c r="R36" s="363">
        <f>'Enterprise Funds'!R28+'Enterprise Funds'!R29+'Enterprise Funds'!R63+'Enterprise Funds'!R64</f>
        <v>0</v>
      </c>
      <c r="S36" s="363">
        <f>'Enterprise Funds'!S28+'Enterprise Funds'!S29+'Enterprise Funds'!S63+'Enterprise Funds'!S64</f>
        <v>0</v>
      </c>
      <c r="T36" s="363">
        <f>'Enterprise Funds'!T28+'Enterprise Funds'!T29+'Enterprise Funds'!T63+'Enterprise Funds'!T64</f>
        <v>0</v>
      </c>
      <c r="U36" s="363">
        <f>'Enterprise Funds'!U28+'Enterprise Funds'!U29+'Enterprise Funds'!U63+'Enterprise Funds'!U64</f>
        <v>0</v>
      </c>
      <c r="V36" s="363">
        <f>'Enterprise Funds'!V28+'Enterprise Funds'!V29+'Enterprise Funds'!V63+'Enterprise Funds'!V64</f>
        <v>0</v>
      </c>
      <c r="W36" s="363">
        <f>'Enterprise Funds'!W28+'Enterprise Funds'!W29+'Enterprise Funds'!W63+'Enterprise Funds'!W64</f>
        <v>0</v>
      </c>
      <c r="X36" s="363">
        <f>'Enterprise Funds'!X28+'Enterprise Funds'!X29+'Enterprise Funds'!X63+'Enterprise Funds'!X64</f>
        <v>0</v>
      </c>
      <c r="Y36" s="363">
        <f>'Enterprise Funds'!Y28+'Enterprise Funds'!Y29+'Enterprise Funds'!Y63+'Enterprise Funds'!Y64</f>
        <v>0</v>
      </c>
      <c r="Z36" s="363">
        <f>'Enterprise Funds'!Z28+'Enterprise Funds'!Z29+'Enterprise Funds'!Z63+'Enterprise Funds'!Z64</f>
        <v>0</v>
      </c>
      <c r="AA36" s="363">
        <f>'Enterprise Funds'!AA28+'Enterprise Funds'!AA29+'Enterprise Funds'!AA63+'Enterprise Funds'!AA64</f>
        <v>0</v>
      </c>
      <c r="AB36" s="363">
        <f>'Enterprise Funds'!AB28+'Enterprise Funds'!AB29+'Enterprise Funds'!AB63+'Enterprise Funds'!AB64</f>
        <v>0</v>
      </c>
    </row>
    <row r="37" spans="1:28">
      <c r="B37" s="811" t="s">
        <v>133</v>
      </c>
      <c r="C37" s="812">
        <f t="shared" ref="C37:K37" si="24">C35-C36</f>
        <v>0</v>
      </c>
      <c r="D37" s="812">
        <f t="shared" si="24"/>
        <v>0</v>
      </c>
      <c r="E37" s="812">
        <f t="shared" si="24"/>
        <v>0</v>
      </c>
      <c r="F37" s="812">
        <f t="shared" si="24"/>
        <v>0</v>
      </c>
      <c r="G37" s="812">
        <f t="shared" si="24"/>
        <v>0</v>
      </c>
      <c r="H37" s="812">
        <f t="shared" si="24"/>
        <v>0</v>
      </c>
      <c r="I37" s="812">
        <f t="shared" si="24"/>
        <v>0</v>
      </c>
      <c r="J37" s="812">
        <f t="shared" si="24"/>
        <v>0</v>
      </c>
      <c r="K37" s="812">
        <f t="shared" si="24"/>
        <v>0</v>
      </c>
      <c r="L37" s="812">
        <f>L35-L36</f>
        <v>0</v>
      </c>
      <c r="M37" s="812">
        <f>M35-M36</f>
        <v>0</v>
      </c>
      <c r="N37" s="812">
        <f t="shared" ref="N37:T37" si="25">N35-N36</f>
        <v>0</v>
      </c>
      <c r="O37" s="812">
        <f t="shared" si="25"/>
        <v>0</v>
      </c>
      <c r="P37" s="812">
        <f t="shared" si="25"/>
        <v>0</v>
      </c>
      <c r="Q37" s="812">
        <f t="shared" si="25"/>
        <v>0</v>
      </c>
      <c r="R37" s="812">
        <f t="shared" si="25"/>
        <v>0</v>
      </c>
      <c r="S37" s="812">
        <f t="shared" si="25"/>
        <v>0</v>
      </c>
      <c r="T37" s="812">
        <f t="shared" si="25"/>
        <v>0</v>
      </c>
      <c r="U37" s="812">
        <f t="shared" ref="U37:V37" si="26">U35-U36</f>
        <v>0</v>
      </c>
      <c r="V37" s="812">
        <f t="shared" si="26"/>
        <v>0</v>
      </c>
      <c r="W37" s="812">
        <f t="shared" ref="W37:X37" si="27">W35-W36</f>
        <v>0</v>
      </c>
      <c r="X37" s="812">
        <f t="shared" si="27"/>
        <v>0</v>
      </c>
      <c r="Y37" s="812">
        <f t="shared" ref="Y37:Z37" si="28">Y35-Y36</f>
        <v>0</v>
      </c>
      <c r="Z37" s="812">
        <f t="shared" si="28"/>
        <v>0</v>
      </c>
      <c r="AA37" s="812">
        <f t="shared" ref="AA37:AB37" si="29">AA35-AA36</f>
        <v>0</v>
      </c>
      <c r="AB37" s="812">
        <f t="shared" si="29"/>
        <v>0</v>
      </c>
    </row>
    <row r="38" spans="1:28">
      <c r="B38" s="807" t="s">
        <v>134</v>
      </c>
      <c r="C38" s="810" t="str">
        <f t="shared" ref="C38:L38" si="30">IFERROR((C35-B35)/B35,"")</f>
        <v/>
      </c>
      <c r="D38" s="810" t="str">
        <f t="shared" si="30"/>
        <v/>
      </c>
      <c r="E38" s="810" t="str">
        <f t="shared" si="30"/>
        <v/>
      </c>
      <c r="F38" s="810" t="str">
        <f t="shared" si="30"/>
        <v/>
      </c>
      <c r="G38" s="810" t="str">
        <f t="shared" si="30"/>
        <v/>
      </c>
      <c r="H38" s="810" t="str">
        <f t="shared" si="30"/>
        <v/>
      </c>
      <c r="I38" s="810" t="str">
        <f t="shared" si="30"/>
        <v/>
      </c>
      <c r="J38" s="810" t="str">
        <f t="shared" si="30"/>
        <v/>
      </c>
      <c r="K38" s="810" t="str">
        <f t="shared" si="30"/>
        <v/>
      </c>
      <c r="L38" s="810" t="str">
        <f t="shared" si="30"/>
        <v/>
      </c>
      <c r="M38" s="810" t="str">
        <f>IFERROR((M35-L35)/L35,"")</f>
        <v/>
      </c>
      <c r="N38" s="810" t="str">
        <f t="shared" ref="N38:U38" si="31">IFERROR((N35-M35)/M35,"")</f>
        <v/>
      </c>
      <c r="O38" s="810" t="str">
        <f t="shared" si="31"/>
        <v/>
      </c>
      <c r="P38" s="810" t="str">
        <f t="shared" si="31"/>
        <v/>
      </c>
      <c r="Q38" s="810" t="str">
        <f t="shared" si="31"/>
        <v/>
      </c>
      <c r="R38" s="810" t="str">
        <f t="shared" si="31"/>
        <v/>
      </c>
      <c r="S38" s="810" t="str">
        <f t="shared" si="31"/>
        <v/>
      </c>
      <c r="T38" s="810" t="str">
        <f t="shared" si="31"/>
        <v/>
      </c>
      <c r="U38" s="810" t="str">
        <f t="shared" si="31"/>
        <v/>
      </c>
      <c r="V38" s="810" t="str">
        <f t="shared" ref="V38:Z38" si="32">IFERROR((V35-U35)/U35,"")</f>
        <v/>
      </c>
      <c r="W38" s="810" t="str">
        <f t="shared" si="32"/>
        <v/>
      </c>
      <c r="X38" s="810" t="str">
        <f t="shared" si="32"/>
        <v/>
      </c>
      <c r="Y38" s="810" t="str">
        <f t="shared" si="32"/>
        <v/>
      </c>
      <c r="Z38" s="810" t="str">
        <f t="shared" si="32"/>
        <v/>
      </c>
      <c r="AA38" s="810" t="str">
        <f t="shared" ref="AA38" si="33">IFERROR((AA35-Z35)/Z35,"")</f>
        <v/>
      </c>
      <c r="AB38" s="810" t="str">
        <f t="shared" ref="AB38" si="34">IFERROR((AB35-AA35)/AA35,"")</f>
        <v/>
      </c>
    </row>
    <row r="39" spans="1:28" s="455" customFormat="1">
      <c r="A39" s="590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4"/>
      <c r="M39" s="194"/>
      <c r="N39" s="194"/>
      <c r="O39" s="194"/>
      <c r="P39" s="194"/>
      <c r="Q39" s="194"/>
      <c r="R39" s="194"/>
      <c r="S39" s="194"/>
      <c r="T39" s="164"/>
      <c r="U39" s="164"/>
      <c r="V39" s="164"/>
      <c r="W39" s="164"/>
      <c r="X39" s="164"/>
      <c r="Y39" s="164"/>
      <c r="Z39" s="164"/>
      <c r="AA39" s="164"/>
      <c r="AB39" s="164"/>
    </row>
    <row r="40" spans="1:28" s="456" customFormat="1">
      <c r="B40" s="191" t="s">
        <v>135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458"/>
      <c r="N40" s="458"/>
      <c r="O40" s="458"/>
      <c r="P40" s="458"/>
      <c r="Q40" s="458"/>
      <c r="R40" s="458"/>
      <c r="S40" s="458"/>
      <c r="T40" s="458"/>
      <c r="U40" s="459"/>
      <c r="V40" s="459"/>
      <c r="W40" s="459"/>
      <c r="X40" s="459"/>
      <c r="Y40" s="459"/>
      <c r="Z40" s="459"/>
      <c r="AA40" s="459"/>
      <c r="AB40" s="459"/>
    </row>
    <row r="41" spans="1:28" s="457" customFormat="1">
      <c r="B41" s="460" t="s">
        <v>136</v>
      </c>
      <c r="C41" s="412">
        <f>Revenue!C56</f>
        <v>0</v>
      </c>
      <c r="D41" s="412">
        <f>Revenue!D56</f>
        <v>0</v>
      </c>
      <c r="E41" s="412">
        <f>Revenue!E56</f>
        <v>0</v>
      </c>
      <c r="F41" s="412">
        <f>Revenue!F56</f>
        <v>0</v>
      </c>
      <c r="G41" s="412">
        <f>Revenue!G56</f>
        <v>0</v>
      </c>
      <c r="H41" s="412">
        <f>Revenue!H56</f>
        <v>0</v>
      </c>
      <c r="I41" s="412">
        <f>Revenue!I56</f>
        <v>0</v>
      </c>
      <c r="J41" s="412">
        <f>Revenue!J56</f>
        <v>0</v>
      </c>
      <c r="K41" s="412">
        <f>Revenue!K56</f>
        <v>0</v>
      </c>
      <c r="L41" s="412">
        <f>Revenue!L56</f>
        <v>0</v>
      </c>
      <c r="M41" s="412">
        <f>Revenue!M56</f>
        <v>0</v>
      </c>
      <c r="N41" s="412">
        <f>Revenue!N56</f>
        <v>0</v>
      </c>
      <c r="O41" s="412">
        <f>Revenue!O56</f>
        <v>0</v>
      </c>
      <c r="P41" s="412">
        <f>Revenue!P56</f>
        <v>0</v>
      </c>
      <c r="Q41" s="412">
        <f>Revenue!Q56</f>
        <v>0</v>
      </c>
      <c r="R41" s="412">
        <f>Revenue!R56</f>
        <v>0</v>
      </c>
      <c r="S41" s="412">
        <f>Revenue!S56</f>
        <v>0</v>
      </c>
      <c r="T41" s="412">
        <f>Revenue!T56</f>
        <v>0</v>
      </c>
      <c r="U41" s="412">
        <f>Revenue!U56</f>
        <v>0</v>
      </c>
      <c r="V41" s="412">
        <f>Revenue!V56</f>
        <v>0</v>
      </c>
      <c r="W41" s="412">
        <f>Revenue!W56</f>
        <v>0</v>
      </c>
      <c r="X41" s="412">
        <f>Revenue!X56</f>
        <v>0</v>
      </c>
      <c r="Y41" s="412">
        <f>Revenue!Y56</f>
        <v>0</v>
      </c>
      <c r="Z41" s="412">
        <f>Revenue!AC56</f>
        <v>0</v>
      </c>
      <c r="AA41" s="412">
        <f>Revenue!AD56</f>
        <v>0</v>
      </c>
      <c r="AB41" s="412">
        <f>Revenue!AE56</f>
        <v>0</v>
      </c>
    </row>
    <row r="42" spans="1:28" s="457" customFormat="1">
      <c r="B42" s="460" t="s">
        <v>137</v>
      </c>
      <c r="C42" s="412">
        <f>CPF!C29+CPF!C35</f>
        <v>0</v>
      </c>
      <c r="D42" s="412">
        <f>CPF!D29+CPF!D35</f>
        <v>0</v>
      </c>
      <c r="E42" s="412">
        <f>CPF!E29+CPF!E35</f>
        <v>0</v>
      </c>
      <c r="F42" s="412">
        <f>CPF!F29+CPF!F35</f>
        <v>0</v>
      </c>
      <c r="G42" s="412">
        <f>CPF!G29+CPF!G35</f>
        <v>0</v>
      </c>
      <c r="H42" s="412">
        <f>CPF!H29+CPF!H35</f>
        <v>0</v>
      </c>
      <c r="I42" s="412">
        <f>CPF!I29+CPF!I35</f>
        <v>0</v>
      </c>
      <c r="J42" s="412">
        <f>CPF!J29+CPF!J35</f>
        <v>0</v>
      </c>
      <c r="K42" s="412">
        <f>CPF!K29+CPF!K35</f>
        <v>0</v>
      </c>
      <c r="L42" s="412">
        <f>CPF!L29+CPF!L35</f>
        <v>0</v>
      </c>
      <c r="M42" s="412">
        <f>CPF!M29+CPF!M35</f>
        <v>0</v>
      </c>
      <c r="N42" s="412">
        <f>CPF!N29+CPF!N35</f>
        <v>0</v>
      </c>
      <c r="O42" s="412">
        <f>CPF!O29+CPF!O35</f>
        <v>0</v>
      </c>
      <c r="P42" s="412">
        <f>CPF!P29+CPF!P35</f>
        <v>0</v>
      </c>
      <c r="Q42" s="412">
        <f>CPF!Q29+CPF!Q35</f>
        <v>0</v>
      </c>
      <c r="R42" s="412">
        <f>CPF!R29+CPF!R35</f>
        <v>0</v>
      </c>
      <c r="S42" s="412">
        <f>CPF!S29+CPF!S35</f>
        <v>0</v>
      </c>
      <c r="T42" s="412">
        <f>CPF!T29+CPF!T35</f>
        <v>0</v>
      </c>
      <c r="U42" s="412">
        <f>CPF!U29+CPF!U35</f>
        <v>0</v>
      </c>
      <c r="V42" s="412">
        <f>CPF!V29+CPF!V35</f>
        <v>0</v>
      </c>
      <c r="W42" s="412">
        <f>CPF!W29+CPF!W35</f>
        <v>0</v>
      </c>
      <c r="X42" s="412">
        <f>CPF!X29+CPF!X35</f>
        <v>0</v>
      </c>
      <c r="Y42" s="412">
        <f>CPF!Y29+CPF!Y35</f>
        <v>0</v>
      </c>
      <c r="Z42" s="412">
        <f>CPF!Z29+CPF!Z35</f>
        <v>0</v>
      </c>
      <c r="AA42" s="412">
        <f>CPF!AA29+CPF!AA35</f>
        <v>0</v>
      </c>
      <c r="AB42" s="412">
        <f>CPF!AB29+CPF!AB35</f>
        <v>0</v>
      </c>
    </row>
    <row r="43" spans="1:28" s="455" customFormat="1">
      <c r="B43" s="813" t="s">
        <v>138</v>
      </c>
      <c r="C43" s="814">
        <f t="shared" ref="C43:K43" si="35">+C41-C42</f>
        <v>0</v>
      </c>
      <c r="D43" s="815">
        <f t="shared" si="35"/>
        <v>0</v>
      </c>
      <c r="E43" s="815">
        <f t="shared" si="35"/>
        <v>0</v>
      </c>
      <c r="F43" s="815">
        <f t="shared" si="35"/>
        <v>0</v>
      </c>
      <c r="G43" s="815">
        <f t="shared" si="35"/>
        <v>0</v>
      </c>
      <c r="H43" s="815">
        <f t="shared" si="35"/>
        <v>0</v>
      </c>
      <c r="I43" s="815">
        <f t="shared" si="35"/>
        <v>0</v>
      </c>
      <c r="J43" s="815">
        <f t="shared" si="35"/>
        <v>0</v>
      </c>
      <c r="K43" s="815">
        <f t="shared" si="35"/>
        <v>0</v>
      </c>
      <c r="L43" s="815">
        <f t="shared" ref="L43:M43" si="36">+L41-L42</f>
        <v>0</v>
      </c>
      <c r="M43" s="816">
        <f t="shared" si="36"/>
        <v>0</v>
      </c>
      <c r="N43" s="817">
        <f t="shared" ref="N43:U43" si="37">+N41-N42</f>
        <v>0</v>
      </c>
      <c r="O43" s="817">
        <f t="shared" si="37"/>
        <v>0</v>
      </c>
      <c r="P43" s="817">
        <f t="shared" si="37"/>
        <v>0</v>
      </c>
      <c r="Q43" s="817">
        <f t="shared" si="37"/>
        <v>0</v>
      </c>
      <c r="R43" s="817">
        <f t="shared" si="37"/>
        <v>0</v>
      </c>
      <c r="S43" s="817">
        <f t="shared" si="37"/>
        <v>0</v>
      </c>
      <c r="T43" s="817">
        <f t="shared" si="37"/>
        <v>0</v>
      </c>
      <c r="U43" s="817">
        <f t="shared" si="37"/>
        <v>0</v>
      </c>
      <c r="V43" s="817">
        <f t="shared" ref="V43:W43" si="38">+V41-V42</f>
        <v>0</v>
      </c>
      <c r="W43" s="817">
        <f t="shared" si="38"/>
        <v>0</v>
      </c>
      <c r="X43" s="817">
        <f t="shared" ref="X43:Y43" si="39">+X41-X42</f>
        <v>0</v>
      </c>
      <c r="Y43" s="817">
        <f t="shared" si="39"/>
        <v>0</v>
      </c>
      <c r="Z43" s="817">
        <f t="shared" ref="Z43:AB43" si="40">+Z41-Z42</f>
        <v>0</v>
      </c>
      <c r="AA43" s="817">
        <f t="shared" si="40"/>
        <v>0</v>
      </c>
      <c r="AB43" s="817">
        <f t="shared" si="40"/>
        <v>0</v>
      </c>
    </row>
    <row r="44" spans="1:28">
      <c r="B44" s="807" t="s">
        <v>139</v>
      </c>
      <c r="C44" s="810" t="str">
        <f t="shared" ref="C44:L44" si="41">IFERROR((C41-B41)/B41,"")</f>
        <v/>
      </c>
      <c r="D44" s="810" t="str">
        <f t="shared" si="41"/>
        <v/>
      </c>
      <c r="E44" s="810" t="str">
        <f t="shared" si="41"/>
        <v/>
      </c>
      <c r="F44" s="810" t="str">
        <f t="shared" si="41"/>
        <v/>
      </c>
      <c r="G44" s="810" t="str">
        <f t="shared" si="41"/>
        <v/>
      </c>
      <c r="H44" s="810" t="str">
        <f t="shared" si="41"/>
        <v/>
      </c>
      <c r="I44" s="810" t="str">
        <f t="shared" si="41"/>
        <v/>
      </c>
      <c r="J44" s="810" t="str">
        <f t="shared" si="41"/>
        <v/>
      </c>
      <c r="K44" s="810" t="str">
        <f t="shared" si="41"/>
        <v/>
      </c>
      <c r="L44" s="810" t="str">
        <f t="shared" si="41"/>
        <v/>
      </c>
      <c r="M44" s="810" t="str">
        <f>IFERROR((M41-L41)/L41,"")</f>
        <v/>
      </c>
      <c r="N44" s="810" t="str">
        <f>IFERROR((N41-M41)/M41,"")</f>
        <v/>
      </c>
      <c r="O44" s="810" t="str">
        <f t="shared" ref="O44:U44" si="42">IFERROR((O41-N41)/N41,"")</f>
        <v/>
      </c>
      <c r="P44" s="810" t="str">
        <f t="shared" si="42"/>
        <v/>
      </c>
      <c r="Q44" s="810" t="str">
        <f t="shared" si="42"/>
        <v/>
      </c>
      <c r="R44" s="810" t="str">
        <f t="shared" si="42"/>
        <v/>
      </c>
      <c r="S44" s="810" t="str">
        <f t="shared" si="42"/>
        <v/>
      </c>
      <c r="T44" s="810" t="str">
        <f t="shared" si="42"/>
        <v/>
      </c>
      <c r="U44" s="810" t="str">
        <f t="shared" si="42"/>
        <v/>
      </c>
      <c r="V44" s="810" t="str">
        <f t="shared" ref="V44:Z44" si="43">IFERROR((V41-U41)/U41,"")</f>
        <v/>
      </c>
      <c r="W44" s="810" t="str">
        <f t="shared" si="43"/>
        <v/>
      </c>
      <c r="X44" s="810" t="str">
        <f t="shared" si="43"/>
        <v/>
      </c>
      <c r="Y44" s="810" t="str">
        <f t="shared" si="43"/>
        <v/>
      </c>
      <c r="Z44" s="810" t="str">
        <f t="shared" si="43"/>
        <v/>
      </c>
      <c r="AA44" s="810" t="str">
        <f t="shared" ref="AA44" si="44">IFERROR((AA41-Z41)/Z41,"")</f>
        <v/>
      </c>
      <c r="AB44" s="810" t="str">
        <f t="shared" ref="AB44" si="45">IFERROR((AB41-AA41)/AA41,"")</f>
        <v/>
      </c>
    </row>
    <row r="45" spans="1:28">
      <c r="B45" s="462"/>
      <c r="C45" s="25"/>
      <c r="D45" s="25"/>
      <c r="E45" s="25"/>
      <c r="F45" s="25"/>
      <c r="G45" s="25"/>
      <c r="H45" s="25"/>
      <c r="I45" s="25"/>
      <c r="J45" s="25"/>
      <c r="K45" s="25"/>
      <c r="L45" s="463"/>
      <c r="M45" s="464"/>
      <c r="N45" s="464"/>
      <c r="O45" s="464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</row>
    <row r="46" spans="1:28" s="164" customFormat="1">
      <c r="B46" s="191" t="s">
        <v>140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4"/>
      <c r="N46" s="194"/>
      <c r="O46" s="321"/>
      <c r="P46" s="321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</row>
    <row r="47" spans="1:28" s="192" customFormat="1">
      <c r="B47" s="460" t="s">
        <v>108</v>
      </c>
      <c r="C47" s="412">
        <f t="shared" ref="C47:V47" si="46">C12</f>
        <v>6542878</v>
      </c>
      <c r="D47" s="412">
        <f t="shared" si="46"/>
        <v>6809728.96</v>
      </c>
      <c r="E47" s="412">
        <f t="shared" si="46"/>
        <v>6579471.1699999999</v>
      </c>
      <c r="F47" s="412">
        <f t="shared" si="46"/>
        <v>7263524</v>
      </c>
      <c r="G47" s="412">
        <f t="shared" si="46"/>
        <v>14505323</v>
      </c>
      <c r="H47" s="412">
        <f t="shared" si="46"/>
        <v>15695796</v>
      </c>
      <c r="I47" s="412">
        <f t="shared" si="46"/>
        <v>14279949</v>
      </c>
      <c r="J47" s="412">
        <f t="shared" si="46"/>
        <v>14424027</v>
      </c>
      <c r="K47" s="412">
        <f t="shared" si="46"/>
        <v>15141278</v>
      </c>
      <c r="L47" s="412">
        <f t="shared" si="46"/>
        <v>15986138</v>
      </c>
      <c r="M47" s="412">
        <f t="shared" si="46"/>
        <v>16979344</v>
      </c>
      <c r="N47" s="412">
        <f t="shared" si="46"/>
        <v>18657453</v>
      </c>
      <c r="O47" s="412">
        <f t="shared" si="46"/>
        <v>19118889</v>
      </c>
      <c r="P47" s="412">
        <f t="shared" si="46"/>
        <v>20337614</v>
      </c>
      <c r="Q47" s="412">
        <f t="shared" si="46"/>
        <v>21004379</v>
      </c>
      <c r="R47" s="412">
        <f t="shared" si="46"/>
        <v>23760251</v>
      </c>
      <c r="S47" s="412">
        <f t="shared" si="46"/>
        <v>24015395</v>
      </c>
      <c r="T47" s="412">
        <f t="shared" si="46"/>
        <v>25979016</v>
      </c>
      <c r="U47" s="412">
        <f t="shared" si="46"/>
        <v>27239208.859999999</v>
      </c>
      <c r="V47" s="412">
        <f t="shared" si="46"/>
        <v>28027689.880000003</v>
      </c>
      <c r="W47" s="412">
        <f t="shared" ref="W47:X47" si="47">W12</f>
        <v>30108785.649999999</v>
      </c>
      <c r="X47" s="412">
        <f t="shared" si="47"/>
        <v>36910436.266249999</v>
      </c>
      <c r="Y47" s="412">
        <f t="shared" ref="Y47:Z47" si="48">Y12</f>
        <v>38658294.102906249</v>
      </c>
      <c r="Z47" s="412">
        <f t="shared" si="48"/>
        <v>39669642.832018904</v>
      </c>
      <c r="AA47" s="412">
        <f t="shared" ref="AA47:AB47" si="49">AA12</f>
        <v>40682264.665747896</v>
      </c>
      <c r="AB47" s="412">
        <f t="shared" si="49"/>
        <v>41724908.240817115</v>
      </c>
    </row>
    <row r="48" spans="1:28" s="192" customFormat="1">
      <c r="B48" s="460" t="s">
        <v>141</v>
      </c>
      <c r="C48" s="412">
        <f t="shared" ref="C48:K48" si="50">C35</f>
        <v>0</v>
      </c>
      <c r="D48" s="412">
        <f t="shared" si="50"/>
        <v>0</v>
      </c>
      <c r="E48" s="412">
        <f t="shared" si="50"/>
        <v>0</v>
      </c>
      <c r="F48" s="412">
        <f t="shared" si="50"/>
        <v>0</v>
      </c>
      <c r="G48" s="412">
        <f t="shared" si="50"/>
        <v>0</v>
      </c>
      <c r="H48" s="412">
        <f t="shared" si="50"/>
        <v>0</v>
      </c>
      <c r="I48" s="412">
        <f t="shared" si="50"/>
        <v>0</v>
      </c>
      <c r="J48" s="412">
        <f t="shared" si="50"/>
        <v>0</v>
      </c>
      <c r="K48" s="412">
        <f t="shared" si="50"/>
        <v>0</v>
      </c>
      <c r="L48" s="412">
        <f t="shared" ref="L48" si="51">L35</f>
        <v>0</v>
      </c>
      <c r="M48" s="412">
        <f t="shared" ref="M48:U48" si="52">M35</f>
        <v>0</v>
      </c>
      <c r="N48" s="412">
        <f t="shared" si="52"/>
        <v>0</v>
      </c>
      <c r="O48" s="412">
        <f t="shared" si="52"/>
        <v>0</v>
      </c>
      <c r="P48" s="412">
        <f t="shared" si="52"/>
        <v>0</v>
      </c>
      <c r="Q48" s="412">
        <f t="shared" si="52"/>
        <v>0</v>
      </c>
      <c r="R48" s="412">
        <f t="shared" si="52"/>
        <v>0</v>
      </c>
      <c r="S48" s="412">
        <f t="shared" si="52"/>
        <v>0</v>
      </c>
      <c r="T48" s="412">
        <f t="shared" si="52"/>
        <v>0</v>
      </c>
      <c r="U48" s="412">
        <f t="shared" si="52"/>
        <v>0</v>
      </c>
      <c r="V48" s="412">
        <f t="shared" ref="V48:W48" si="53">V35</f>
        <v>0</v>
      </c>
      <c r="W48" s="412">
        <f t="shared" si="53"/>
        <v>0</v>
      </c>
      <c r="X48" s="412">
        <f t="shared" ref="X48:Y48" si="54">X35</f>
        <v>0</v>
      </c>
      <c r="Y48" s="412">
        <f t="shared" si="54"/>
        <v>0</v>
      </c>
      <c r="Z48" s="412">
        <f t="shared" ref="Z48:AB48" si="55">Z35</f>
        <v>0</v>
      </c>
      <c r="AA48" s="412">
        <f t="shared" si="55"/>
        <v>0</v>
      </c>
      <c r="AB48" s="412">
        <f t="shared" si="55"/>
        <v>0</v>
      </c>
    </row>
    <row r="49" spans="1:29" s="192" customFormat="1">
      <c r="B49" s="460" t="s">
        <v>135</v>
      </c>
      <c r="C49" s="412">
        <f t="shared" ref="C49:K49" si="56">C41</f>
        <v>0</v>
      </c>
      <c r="D49" s="412">
        <f t="shared" si="56"/>
        <v>0</v>
      </c>
      <c r="E49" s="412">
        <f t="shared" si="56"/>
        <v>0</v>
      </c>
      <c r="F49" s="412">
        <f t="shared" si="56"/>
        <v>0</v>
      </c>
      <c r="G49" s="412">
        <f t="shared" si="56"/>
        <v>0</v>
      </c>
      <c r="H49" s="412">
        <f t="shared" si="56"/>
        <v>0</v>
      </c>
      <c r="I49" s="412">
        <f t="shared" si="56"/>
        <v>0</v>
      </c>
      <c r="J49" s="412">
        <f t="shared" si="56"/>
        <v>0</v>
      </c>
      <c r="K49" s="412">
        <f t="shared" si="56"/>
        <v>0</v>
      </c>
      <c r="L49" s="412">
        <f>L41</f>
        <v>0</v>
      </c>
      <c r="M49" s="412">
        <f t="shared" ref="M49:U49" si="57">M41</f>
        <v>0</v>
      </c>
      <c r="N49" s="412">
        <f t="shared" si="57"/>
        <v>0</v>
      </c>
      <c r="O49" s="412">
        <f t="shared" si="57"/>
        <v>0</v>
      </c>
      <c r="P49" s="412">
        <f>P41</f>
        <v>0</v>
      </c>
      <c r="Q49" s="412">
        <f t="shared" si="57"/>
        <v>0</v>
      </c>
      <c r="R49" s="412">
        <f t="shared" si="57"/>
        <v>0</v>
      </c>
      <c r="S49" s="412">
        <f t="shared" si="57"/>
        <v>0</v>
      </c>
      <c r="T49" s="412">
        <f t="shared" si="57"/>
        <v>0</v>
      </c>
      <c r="U49" s="412">
        <f t="shared" si="57"/>
        <v>0</v>
      </c>
      <c r="V49" s="412">
        <f t="shared" ref="V49:W49" si="58">V41</f>
        <v>0</v>
      </c>
      <c r="W49" s="412">
        <f t="shared" si="58"/>
        <v>0</v>
      </c>
      <c r="X49" s="412">
        <f t="shared" ref="X49:Y49" si="59">X41</f>
        <v>0</v>
      </c>
      <c r="Y49" s="412">
        <f t="shared" si="59"/>
        <v>0</v>
      </c>
      <c r="Z49" s="412">
        <f t="shared" ref="Z49:AB49" si="60">Z41</f>
        <v>0</v>
      </c>
      <c r="AA49" s="412">
        <f t="shared" si="60"/>
        <v>0</v>
      </c>
      <c r="AB49" s="412">
        <f t="shared" si="60"/>
        <v>0</v>
      </c>
    </row>
    <row r="50" spans="1:29" s="195" customFormat="1">
      <c r="A50" s="377" t="s">
        <v>142</v>
      </c>
      <c r="B50" s="819" t="s">
        <v>143</v>
      </c>
      <c r="C50" s="820">
        <f t="shared" ref="C50:K50" si="61">SUM(C47:C49)</f>
        <v>6542878</v>
      </c>
      <c r="D50" s="820">
        <f t="shared" si="61"/>
        <v>6809728.96</v>
      </c>
      <c r="E50" s="820">
        <f t="shared" si="61"/>
        <v>6579471.1699999999</v>
      </c>
      <c r="F50" s="820">
        <f t="shared" si="61"/>
        <v>7263524</v>
      </c>
      <c r="G50" s="820">
        <f t="shared" si="61"/>
        <v>14505323</v>
      </c>
      <c r="H50" s="820">
        <f t="shared" si="61"/>
        <v>15695796</v>
      </c>
      <c r="I50" s="820">
        <f t="shared" si="61"/>
        <v>14279949</v>
      </c>
      <c r="J50" s="820">
        <f t="shared" si="61"/>
        <v>14424027</v>
      </c>
      <c r="K50" s="820">
        <f t="shared" si="61"/>
        <v>15141278</v>
      </c>
      <c r="L50" s="820">
        <f>SUM(L47:L49)</f>
        <v>15986138</v>
      </c>
      <c r="M50" s="820">
        <f t="shared" ref="M50:V50" si="62">SUM(M47:M49)</f>
        <v>16979344</v>
      </c>
      <c r="N50" s="820">
        <f t="shared" si="62"/>
        <v>18657453</v>
      </c>
      <c r="O50" s="820">
        <f t="shared" si="62"/>
        <v>19118889</v>
      </c>
      <c r="P50" s="820">
        <f t="shared" si="62"/>
        <v>20337614</v>
      </c>
      <c r="Q50" s="820">
        <f t="shared" si="62"/>
        <v>21004379</v>
      </c>
      <c r="R50" s="820">
        <f t="shared" si="62"/>
        <v>23760251</v>
      </c>
      <c r="S50" s="820">
        <f t="shared" si="62"/>
        <v>24015395</v>
      </c>
      <c r="T50" s="820">
        <f t="shared" si="62"/>
        <v>25979016</v>
      </c>
      <c r="U50" s="820">
        <f t="shared" si="62"/>
        <v>27239208.859999999</v>
      </c>
      <c r="V50" s="820">
        <f t="shared" si="62"/>
        <v>28027689.880000003</v>
      </c>
      <c r="W50" s="820">
        <f t="shared" ref="W50:X50" si="63">SUM(W47:W49)</f>
        <v>30108785.649999999</v>
      </c>
      <c r="X50" s="820">
        <f t="shared" si="63"/>
        <v>36910436.266249999</v>
      </c>
      <c r="Y50" s="820">
        <f t="shared" ref="Y50:Z50" si="64">SUM(Y47:Y49)</f>
        <v>38658294.102906249</v>
      </c>
      <c r="Z50" s="820">
        <f t="shared" si="64"/>
        <v>39669642.832018904</v>
      </c>
      <c r="AA50" s="820">
        <f t="shared" ref="AA50:AB50" si="65">SUM(AA47:AA49)</f>
        <v>40682264.665747896</v>
      </c>
      <c r="AB50" s="820">
        <f t="shared" si="65"/>
        <v>41724908.240817115</v>
      </c>
    </row>
    <row r="51" spans="1:29">
      <c r="L51" s="208"/>
      <c r="M51" s="208"/>
      <c r="N51" s="208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</row>
    <row r="52" spans="1:29" s="192" customFormat="1">
      <c r="B52" s="460" t="s">
        <v>108</v>
      </c>
      <c r="C52" s="412">
        <f t="shared" ref="C52:V52" si="66">C30</f>
        <v>71860.44</v>
      </c>
      <c r="D52" s="412">
        <f t="shared" si="66"/>
        <v>76981.52</v>
      </c>
      <c r="E52" s="412">
        <f t="shared" si="66"/>
        <v>56668.74</v>
      </c>
      <c r="F52" s="412">
        <f t="shared" si="66"/>
        <v>93125.96</v>
      </c>
      <c r="G52" s="412">
        <f t="shared" si="66"/>
        <v>397893.33999999997</v>
      </c>
      <c r="H52" s="412">
        <f t="shared" si="66"/>
        <v>423884.65</v>
      </c>
      <c r="I52" s="412">
        <f t="shared" si="66"/>
        <v>370736.78</v>
      </c>
      <c r="J52" s="412">
        <f t="shared" si="66"/>
        <v>471058</v>
      </c>
      <c r="K52" s="412">
        <f t="shared" si="66"/>
        <v>535606.35</v>
      </c>
      <c r="L52" s="412">
        <f t="shared" si="66"/>
        <v>621979.69999999995</v>
      </c>
      <c r="M52" s="412">
        <f t="shared" si="66"/>
        <v>682368.7</v>
      </c>
      <c r="N52" s="412">
        <f t="shared" si="66"/>
        <v>786995.32000000007</v>
      </c>
      <c r="O52" s="412">
        <f t="shared" si="66"/>
        <v>2469588.14</v>
      </c>
      <c r="P52" s="412">
        <f t="shared" si="66"/>
        <v>3378586.0300000003</v>
      </c>
      <c r="Q52" s="412">
        <f t="shared" si="66"/>
        <v>3495855.83</v>
      </c>
      <c r="R52" s="412">
        <f t="shared" si="66"/>
        <v>3735146.9299999997</v>
      </c>
      <c r="S52" s="412">
        <f t="shared" si="66"/>
        <v>3812041.11</v>
      </c>
      <c r="T52" s="412">
        <f t="shared" si="66"/>
        <v>24472628.82</v>
      </c>
      <c r="U52" s="412">
        <f t="shared" si="66"/>
        <v>27062423.149999999</v>
      </c>
      <c r="V52" s="412">
        <f t="shared" si="66"/>
        <v>28052988.09</v>
      </c>
      <c r="W52" s="412">
        <f t="shared" ref="W52:X52" si="67">W30</f>
        <v>29932146.375</v>
      </c>
      <c r="X52" s="412">
        <f t="shared" si="67"/>
        <v>35139934.60125</v>
      </c>
      <c r="Y52" s="412">
        <f t="shared" ref="Y52:Z52" si="68">Y30</f>
        <v>37693723.745904975</v>
      </c>
      <c r="Z52" s="412">
        <f t="shared" si="68"/>
        <v>39595641.767326236</v>
      </c>
      <c r="AA52" s="412">
        <f t="shared" ref="AA52:AB52" si="69">AA30</f>
        <v>41394332.959489681</v>
      </c>
      <c r="AB52" s="412">
        <f t="shared" si="69"/>
        <v>43369271.958146408</v>
      </c>
    </row>
    <row r="53" spans="1:29" s="192" customFormat="1">
      <c r="B53" s="460" t="s">
        <v>141</v>
      </c>
      <c r="C53" s="412">
        <f t="shared" ref="C53:K53" si="70">C36</f>
        <v>0</v>
      </c>
      <c r="D53" s="412">
        <f t="shared" si="70"/>
        <v>0</v>
      </c>
      <c r="E53" s="412">
        <f t="shared" si="70"/>
        <v>0</v>
      </c>
      <c r="F53" s="412">
        <f t="shared" si="70"/>
        <v>0</v>
      </c>
      <c r="G53" s="412">
        <f t="shared" si="70"/>
        <v>0</v>
      </c>
      <c r="H53" s="412">
        <f t="shared" si="70"/>
        <v>0</v>
      </c>
      <c r="I53" s="412">
        <f t="shared" si="70"/>
        <v>0</v>
      </c>
      <c r="J53" s="412">
        <f t="shared" si="70"/>
        <v>0</v>
      </c>
      <c r="K53" s="412">
        <f t="shared" si="70"/>
        <v>0</v>
      </c>
      <c r="L53" s="412">
        <f t="shared" ref="L53" si="71">L36</f>
        <v>0</v>
      </c>
      <c r="M53" s="412">
        <f t="shared" ref="M53:U53" si="72">M36</f>
        <v>0</v>
      </c>
      <c r="N53" s="412">
        <f t="shared" si="72"/>
        <v>0</v>
      </c>
      <c r="O53" s="412">
        <f t="shared" si="72"/>
        <v>0</v>
      </c>
      <c r="P53" s="412">
        <f t="shared" si="72"/>
        <v>0</v>
      </c>
      <c r="Q53" s="412">
        <f t="shared" si="72"/>
        <v>0</v>
      </c>
      <c r="R53" s="412">
        <f t="shared" si="72"/>
        <v>0</v>
      </c>
      <c r="S53" s="412">
        <f t="shared" si="72"/>
        <v>0</v>
      </c>
      <c r="T53" s="412">
        <f t="shared" si="72"/>
        <v>0</v>
      </c>
      <c r="U53" s="412">
        <f t="shared" si="72"/>
        <v>0</v>
      </c>
      <c r="V53" s="412">
        <f t="shared" ref="V53:W53" si="73">V36</f>
        <v>0</v>
      </c>
      <c r="W53" s="412">
        <f t="shared" si="73"/>
        <v>0</v>
      </c>
      <c r="X53" s="412">
        <f t="shared" ref="X53:Y53" si="74">X36</f>
        <v>0</v>
      </c>
      <c r="Y53" s="412">
        <f t="shared" si="74"/>
        <v>0</v>
      </c>
      <c r="Z53" s="412">
        <f t="shared" ref="Z53:AB53" si="75">Z36</f>
        <v>0</v>
      </c>
      <c r="AA53" s="412">
        <f t="shared" si="75"/>
        <v>0</v>
      </c>
      <c r="AB53" s="412">
        <f t="shared" si="75"/>
        <v>0</v>
      </c>
    </row>
    <row r="54" spans="1:29" s="192" customFormat="1">
      <c r="B54" s="460" t="s">
        <v>135</v>
      </c>
      <c r="C54" s="412">
        <f t="shared" ref="C54:K54" si="76">C42</f>
        <v>0</v>
      </c>
      <c r="D54" s="412">
        <f t="shared" si="76"/>
        <v>0</v>
      </c>
      <c r="E54" s="412">
        <f t="shared" si="76"/>
        <v>0</v>
      </c>
      <c r="F54" s="412">
        <f t="shared" si="76"/>
        <v>0</v>
      </c>
      <c r="G54" s="412">
        <f t="shared" si="76"/>
        <v>0</v>
      </c>
      <c r="H54" s="412">
        <f t="shared" si="76"/>
        <v>0</v>
      </c>
      <c r="I54" s="412">
        <f t="shared" si="76"/>
        <v>0</v>
      </c>
      <c r="J54" s="412">
        <f t="shared" si="76"/>
        <v>0</v>
      </c>
      <c r="K54" s="412">
        <f t="shared" si="76"/>
        <v>0</v>
      </c>
      <c r="L54" s="412">
        <f>L42</f>
        <v>0</v>
      </c>
      <c r="M54" s="412">
        <f t="shared" ref="M54:U54" si="77">M42</f>
        <v>0</v>
      </c>
      <c r="N54" s="412">
        <f t="shared" si="77"/>
        <v>0</v>
      </c>
      <c r="O54" s="412">
        <f t="shared" si="77"/>
        <v>0</v>
      </c>
      <c r="P54" s="412">
        <f t="shared" si="77"/>
        <v>0</v>
      </c>
      <c r="Q54" s="412">
        <f t="shared" si="77"/>
        <v>0</v>
      </c>
      <c r="R54" s="412">
        <f t="shared" si="77"/>
        <v>0</v>
      </c>
      <c r="S54" s="412">
        <f t="shared" si="77"/>
        <v>0</v>
      </c>
      <c r="T54" s="412">
        <f t="shared" si="77"/>
        <v>0</v>
      </c>
      <c r="U54" s="412">
        <f t="shared" si="77"/>
        <v>0</v>
      </c>
      <c r="V54" s="412">
        <f t="shared" ref="V54:W54" si="78">V42</f>
        <v>0</v>
      </c>
      <c r="W54" s="412">
        <f t="shared" si="78"/>
        <v>0</v>
      </c>
      <c r="X54" s="412">
        <f t="shared" ref="X54:Y54" si="79">X42</f>
        <v>0</v>
      </c>
      <c r="Y54" s="412">
        <f t="shared" si="79"/>
        <v>0</v>
      </c>
      <c r="Z54" s="412">
        <f t="shared" ref="Z54:AB54" si="80">Z42</f>
        <v>0</v>
      </c>
      <c r="AA54" s="412">
        <f t="shared" si="80"/>
        <v>0</v>
      </c>
      <c r="AB54" s="412">
        <f t="shared" si="80"/>
        <v>0</v>
      </c>
    </row>
    <row r="55" spans="1:29" s="195" customFormat="1">
      <c r="A55" s="377" t="s">
        <v>142</v>
      </c>
      <c r="B55" s="819" t="s">
        <v>144</v>
      </c>
      <c r="C55" s="820">
        <f t="shared" ref="C55:K55" si="81">SUM(C52:C54)</f>
        <v>71860.44</v>
      </c>
      <c r="D55" s="820">
        <f t="shared" si="81"/>
        <v>76981.52</v>
      </c>
      <c r="E55" s="820">
        <f t="shared" si="81"/>
        <v>56668.74</v>
      </c>
      <c r="F55" s="820">
        <f t="shared" si="81"/>
        <v>93125.96</v>
      </c>
      <c r="G55" s="820">
        <f t="shared" si="81"/>
        <v>397893.33999999997</v>
      </c>
      <c r="H55" s="820">
        <f t="shared" si="81"/>
        <v>423884.65</v>
      </c>
      <c r="I55" s="820">
        <f t="shared" si="81"/>
        <v>370736.78</v>
      </c>
      <c r="J55" s="820">
        <f t="shared" si="81"/>
        <v>471058</v>
      </c>
      <c r="K55" s="820">
        <f t="shared" si="81"/>
        <v>535606.35</v>
      </c>
      <c r="L55" s="820">
        <f t="shared" ref="L55" si="82">SUM(L52:L54)</f>
        <v>621979.69999999995</v>
      </c>
      <c r="M55" s="820">
        <f t="shared" ref="M55:U55" si="83">SUM(M52:M54)</f>
        <v>682368.7</v>
      </c>
      <c r="N55" s="820">
        <f t="shared" si="83"/>
        <v>786995.32000000007</v>
      </c>
      <c r="O55" s="820">
        <f t="shared" si="83"/>
        <v>2469588.14</v>
      </c>
      <c r="P55" s="820">
        <f t="shared" si="83"/>
        <v>3378586.0300000003</v>
      </c>
      <c r="Q55" s="820">
        <f t="shared" si="83"/>
        <v>3495855.83</v>
      </c>
      <c r="R55" s="820">
        <f t="shared" si="83"/>
        <v>3735146.9299999997</v>
      </c>
      <c r="S55" s="820">
        <f t="shared" si="83"/>
        <v>3812041.11</v>
      </c>
      <c r="T55" s="820">
        <f t="shared" si="83"/>
        <v>24472628.82</v>
      </c>
      <c r="U55" s="820">
        <f t="shared" si="83"/>
        <v>27062423.149999999</v>
      </c>
      <c r="V55" s="820">
        <f t="shared" ref="V55:W55" si="84">SUM(V52:V54)</f>
        <v>28052988.09</v>
      </c>
      <c r="W55" s="820">
        <f t="shared" si="84"/>
        <v>29932146.375</v>
      </c>
      <c r="X55" s="820">
        <f t="shared" ref="X55:Y55" si="85">SUM(X52:X54)</f>
        <v>35139934.60125</v>
      </c>
      <c r="Y55" s="820">
        <f t="shared" si="85"/>
        <v>37693723.745904975</v>
      </c>
      <c r="Z55" s="820">
        <f t="shared" ref="Z55:AB55" si="86">SUM(Z52:Z54)</f>
        <v>39595641.767326236</v>
      </c>
      <c r="AA55" s="820">
        <f t="shared" si="86"/>
        <v>41394332.959489681</v>
      </c>
      <c r="AB55" s="820">
        <f t="shared" si="86"/>
        <v>43369271.958146408</v>
      </c>
    </row>
    <row r="56" spans="1:29" s="165" customFormat="1">
      <c r="B56" s="813" t="s">
        <v>145</v>
      </c>
      <c r="C56" s="818">
        <f t="shared" ref="C56:K56" si="87">C50-C55</f>
        <v>6471017.5599999996</v>
      </c>
      <c r="D56" s="818">
        <f t="shared" si="87"/>
        <v>6732747.4400000004</v>
      </c>
      <c r="E56" s="818">
        <f t="shared" si="87"/>
        <v>6522802.4299999997</v>
      </c>
      <c r="F56" s="818">
        <f t="shared" si="87"/>
        <v>7170398.04</v>
      </c>
      <c r="G56" s="818">
        <f t="shared" si="87"/>
        <v>14107429.66</v>
      </c>
      <c r="H56" s="818">
        <f t="shared" si="87"/>
        <v>15271911.35</v>
      </c>
      <c r="I56" s="818">
        <f t="shared" si="87"/>
        <v>13909212.220000001</v>
      </c>
      <c r="J56" s="818">
        <f t="shared" si="87"/>
        <v>13952969</v>
      </c>
      <c r="K56" s="818">
        <f t="shared" si="87"/>
        <v>14605671.65</v>
      </c>
      <c r="L56" s="818">
        <f>L50-L55</f>
        <v>15364158.300000001</v>
      </c>
      <c r="M56" s="818">
        <f t="shared" ref="M56:N56" si="88">M50-M55</f>
        <v>16296975.300000001</v>
      </c>
      <c r="N56" s="818">
        <f t="shared" si="88"/>
        <v>17870457.68</v>
      </c>
      <c r="O56" s="818">
        <f t="shared" ref="O56" si="89">O50-O55</f>
        <v>16649300.859999999</v>
      </c>
      <c r="P56" s="818">
        <f t="shared" ref="P56:T56" si="90">P50-P55</f>
        <v>16959027.969999999</v>
      </c>
      <c r="Q56" s="818">
        <f t="shared" si="90"/>
        <v>17508523.170000002</v>
      </c>
      <c r="R56" s="818">
        <f t="shared" si="90"/>
        <v>20025104.07</v>
      </c>
      <c r="S56" s="818">
        <f t="shared" si="90"/>
        <v>20203353.890000001</v>
      </c>
      <c r="T56" s="818">
        <f t="shared" si="90"/>
        <v>1506387.1799999997</v>
      </c>
      <c r="U56" s="818">
        <f t="shared" ref="U56:V56" si="91">U50-U55</f>
        <v>176785.71000000089</v>
      </c>
      <c r="V56" s="818">
        <f t="shared" si="91"/>
        <v>-25298.209999997169</v>
      </c>
      <c r="W56" s="818">
        <f t="shared" ref="W56:X56" si="92">W50-W55</f>
        <v>176639.27499999851</v>
      </c>
      <c r="X56" s="818">
        <f t="shared" si="92"/>
        <v>1770501.6649999991</v>
      </c>
      <c r="Y56" s="818">
        <f t="shared" ref="Y56:Z56" si="93">Y50-Y55</f>
        <v>964570.35700127482</v>
      </c>
      <c r="Z56" s="818">
        <f t="shared" si="93"/>
        <v>74001.064692668617</v>
      </c>
      <c r="AA56" s="818">
        <f t="shared" ref="AA56:AB56" si="94">AA50-AA55</f>
        <v>-712068.29374178499</v>
      </c>
      <c r="AB56" s="818">
        <f t="shared" si="94"/>
        <v>-1644363.7173292935</v>
      </c>
      <c r="AC56" s="1000"/>
    </row>
    <row r="57" spans="1:29">
      <c r="B57" s="34"/>
      <c r="C57" s="12"/>
      <c r="D57" s="12"/>
      <c r="E57" s="12"/>
      <c r="F57" s="12"/>
      <c r="G57" s="12"/>
      <c r="H57" s="12"/>
      <c r="I57" s="12"/>
      <c r="J57" s="12"/>
      <c r="K57" s="12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</row>
    <row r="58" spans="1:29" s="164" customFormat="1">
      <c r="B58" s="165" t="s">
        <v>146</v>
      </c>
      <c r="C58" s="165"/>
      <c r="D58" s="165"/>
      <c r="E58" s="165"/>
      <c r="F58" s="165"/>
      <c r="M58" s="196"/>
      <c r="N58" s="29"/>
      <c r="O58" s="29"/>
      <c r="P58" s="364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9">
      <c r="B59" s="37" t="s">
        <v>147</v>
      </c>
      <c r="C59" s="37"/>
      <c r="D59" s="37"/>
      <c r="E59" s="37"/>
      <c r="F59" s="37"/>
      <c r="G59" s="37"/>
      <c r="H59" s="37"/>
      <c r="I59" s="37"/>
      <c r="J59" s="37"/>
      <c r="K59" s="37"/>
      <c r="L59" s="169"/>
      <c r="M59" s="169"/>
      <c r="N59" s="169"/>
      <c r="O59" s="204"/>
      <c r="P59" s="18"/>
      <c r="Q59" s="204">
        <f>COLA!Q51</f>
        <v>0</v>
      </c>
      <c r="R59" s="204">
        <f>COLA!R51</f>
        <v>0</v>
      </c>
      <c r="S59" s="204">
        <f>COLA!S51</f>
        <v>0</v>
      </c>
      <c r="T59" s="204">
        <f>COLA!T51</f>
        <v>0</v>
      </c>
      <c r="U59" s="204">
        <f>COLA!U51</f>
        <v>0</v>
      </c>
      <c r="V59" s="204">
        <f>COLA!V51</f>
        <v>0</v>
      </c>
      <c r="W59" s="204">
        <f>COLA!W51</f>
        <v>0</v>
      </c>
      <c r="X59" s="204">
        <f>COLA!X51</f>
        <v>0</v>
      </c>
      <c r="Y59" s="204">
        <f>COLA!Y51</f>
        <v>0</v>
      </c>
      <c r="Z59" s="204">
        <f>COLA!AA51</f>
        <v>0</v>
      </c>
      <c r="AA59" s="204">
        <f>COLA!AB51</f>
        <v>0</v>
      </c>
      <c r="AB59" s="204">
        <f>COLA!AC51</f>
        <v>0</v>
      </c>
    </row>
    <row r="60" spans="1:29">
      <c r="B60" s="787" t="s">
        <v>148</v>
      </c>
      <c r="C60" s="33"/>
      <c r="D60" s="33"/>
      <c r="E60" s="33"/>
      <c r="F60" s="33"/>
      <c r="G60" s="33"/>
      <c r="H60" s="33"/>
      <c r="I60" s="33"/>
      <c r="J60" s="33"/>
      <c r="K60" s="33"/>
      <c r="L60" s="322"/>
      <c r="M60" s="322"/>
      <c r="N60" s="322"/>
      <c r="O60" s="322"/>
      <c r="P60" s="788">
        <f t="shared" ref="P60:V60" si="95">P56-P59</f>
        <v>16959027.969999999</v>
      </c>
      <c r="Q60" s="788">
        <f t="shared" si="95"/>
        <v>17508523.170000002</v>
      </c>
      <c r="R60" s="788">
        <f t="shared" si="95"/>
        <v>20025104.07</v>
      </c>
      <c r="S60" s="788">
        <f t="shared" si="95"/>
        <v>20203353.890000001</v>
      </c>
      <c r="T60" s="788">
        <f t="shared" si="95"/>
        <v>1506387.1799999997</v>
      </c>
      <c r="U60" s="788">
        <f t="shared" si="95"/>
        <v>176785.71000000089</v>
      </c>
      <c r="V60" s="788">
        <f t="shared" si="95"/>
        <v>-25298.209999997169</v>
      </c>
      <c r="W60" s="788">
        <f t="shared" ref="W60" si="96">W56-W59</f>
        <v>176639.27499999851</v>
      </c>
      <c r="X60" s="788">
        <f t="shared" ref="X60:Y60" si="97">X56-X59</f>
        <v>1770501.6649999991</v>
      </c>
      <c r="Y60" s="788">
        <f t="shared" si="97"/>
        <v>964570.35700127482</v>
      </c>
      <c r="Z60" s="788">
        <f t="shared" ref="Z60:AB60" si="98">Z56-Z59</f>
        <v>74001.064692668617</v>
      </c>
      <c r="AA60" s="788">
        <f t="shared" si="98"/>
        <v>-712068.29374178499</v>
      </c>
      <c r="AB60" s="788">
        <f t="shared" si="98"/>
        <v>-1644363.7173292935</v>
      </c>
    </row>
    <row r="61" spans="1:29">
      <c r="B61" s="34"/>
      <c r="C61" s="12"/>
      <c r="D61" s="12"/>
      <c r="E61" s="12"/>
      <c r="F61" s="12"/>
      <c r="G61" s="12"/>
      <c r="H61" s="12"/>
      <c r="I61" s="12"/>
      <c r="J61" s="12"/>
      <c r="K61" s="12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9">
      <c r="L62" s="29" t="s">
        <v>149</v>
      </c>
      <c r="M62" s="29" t="s">
        <v>149</v>
      </c>
      <c r="N62" s="29" t="s">
        <v>149</v>
      </c>
      <c r="O62" s="29" t="s">
        <v>149</v>
      </c>
      <c r="P62" s="29" t="s">
        <v>149</v>
      </c>
      <c r="Q62" s="29" t="s">
        <v>149</v>
      </c>
      <c r="R62" s="29" t="s">
        <v>149</v>
      </c>
      <c r="S62" s="29" t="s">
        <v>149</v>
      </c>
      <c r="T62" s="29" t="s">
        <v>149</v>
      </c>
      <c r="U62" s="29" t="s">
        <v>149</v>
      </c>
      <c r="V62" s="29" t="s">
        <v>149</v>
      </c>
      <c r="W62" s="29" t="s">
        <v>149</v>
      </c>
      <c r="X62" s="29" t="s">
        <v>149</v>
      </c>
      <c r="Y62" s="29" t="s">
        <v>149</v>
      </c>
      <c r="Z62" s="29" t="s">
        <v>149</v>
      </c>
      <c r="AA62" s="29" t="s">
        <v>149</v>
      </c>
      <c r="AB62" s="29" t="s">
        <v>149</v>
      </c>
    </row>
    <row r="63" spans="1:29">
      <c r="B63" s="11" t="s">
        <v>150</v>
      </c>
      <c r="L63" s="36">
        <v>41820</v>
      </c>
      <c r="M63" s="36">
        <v>42185</v>
      </c>
      <c r="N63" s="36">
        <v>42551</v>
      </c>
      <c r="O63" s="36">
        <v>42916</v>
      </c>
      <c r="P63" s="36">
        <v>43281</v>
      </c>
      <c r="Q63" s="36">
        <v>43646</v>
      </c>
      <c r="R63" s="36">
        <v>44012</v>
      </c>
      <c r="S63" s="36">
        <v>44377</v>
      </c>
      <c r="T63" s="36">
        <v>44742</v>
      </c>
      <c r="U63" s="36">
        <v>45107</v>
      </c>
      <c r="V63" s="36">
        <v>45473</v>
      </c>
      <c r="W63" s="36">
        <v>45838</v>
      </c>
      <c r="X63" s="36">
        <v>46203</v>
      </c>
      <c r="Y63" s="36">
        <v>46568</v>
      </c>
      <c r="Z63" s="36">
        <v>46934</v>
      </c>
      <c r="AA63" s="36">
        <v>47299</v>
      </c>
      <c r="AB63" s="36">
        <v>47664</v>
      </c>
    </row>
    <row r="64" spans="1:29">
      <c r="B64" s="940" t="s">
        <v>151</v>
      </c>
      <c r="C64" s="941">
        <f>'Available Funds'!C54</f>
        <v>0</v>
      </c>
      <c r="D64" s="941">
        <f>'Available Funds'!D54</f>
        <v>0</v>
      </c>
      <c r="E64" s="941">
        <f>'Available Funds'!E54</f>
        <v>0</v>
      </c>
      <c r="F64" s="941">
        <f>'Available Funds'!F54</f>
        <v>0</v>
      </c>
      <c r="G64" s="941">
        <f>'Available Funds'!G54</f>
        <v>0</v>
      </c>
      <c r="H64" s="941">
        <f>'Available Funds'!H54</f>
        <v>0</v>
      </c>
      <c r="I64" s="941">
        <f>'Available Funds'!I54</f>
        <v>0</v>
      </c>
      <c r="J64" s="941">
        <f>'Available Funds'!J54</f>
        <v>0</v>
      </c>
      <c r="K64" s="941">
        <f>'Available Funds'!K54</f>
        <v>0</v>
      </c>
      <c r="L64" s="941">
        <f>'Available Funds'!L54</f>
        <v>0</v>
      </c>
      <c r="M64" s="941">
        <f>'Available Funds'!M54</f>
        <v>0</v>
      </c>
      <c r="N64" s="941">
        <f>'Available Funds'!N54</f>
        <v>0</v>
      </c>
      <c r="O64" s="941">
        <f>'Available Funds'!O54</f>
        <v>0</v>
      </c>
      <c r="P64" s="941">
        <f>'Available Funds'!P54</f>
        <v>0</v>
      </c>
      <c r="Q64" s="941">
        <f>'Available Funds'!Q54</f>
        <v>0</v>
      </c>
      <c r="R64" s="942">
        <f>IF('Available Funds'!R54&gt;0,'Available Funds'!R54,'Available Funds'!R66)</f>
        <v>0</v>
      </c>
      <c r="S64" s="942">
        <f>IF('Available Funds'!S54&gt;0,'Available Funds'!S54,'Available Funds'!S66)</f>
        <v>1565376</v>
      </c>
      <c r="T64" s="942">
        <f>IF('Available Funds'!T54&gt;0,'Available Funds'!T54,'Available Funds'!T66)</f>
        <v>1565777</v>
      </c>
      <c r="U64" s="942">
        <f>IF('Available Funds'!U54&gt;0,'Available Funds'!U54,'Available Funds'!U66)</f>
        <v>2099894</v>
      </c>
      <c r="V64" s="942">
        <f>IF('Available Funds'!V54&gt;0,'Available Funds'!V54,'Available Funds'!V66)</f>
        <v>2197830</v>
      </c>
      <c r="W64" s="942">
        <f>IF('Available Funds'!W54&gt;0,'Available Funds'!W54,'Available Funds'!W66)</f>
        <v>1429523.55</v>
      </c>
      <c r="X64" s="942">
        <f>IF('Available Funds'!X54&gt;0,'Available Funds'!X54,'Available Funds'!X66)</f>
        <v>1443818.7855</v>
      </c>
      <c r="Y64" s="942">
        <f>IF('Available Funds'!Y54&gt;0,'Available Funds'!Y54,'Available Funds'!Y66)</f>
        <v>1458256.9733549999</v>
      </c>
      <c r="Z64" s="942">
        <f>IF('Available Funds'!Z54&gt;0,'Available Funds'!Z54,'Available Funds'!Z66)</f>
        <v>1472839.54308855</v>
      </c>
      <c r="AA64" s="942">
        <f>IF('Available Funds'!AA54&gt;0,'Available Funds'!AA54,'Available Funds'!AA66)</f>
        <v>1487567.9385194355</v>
      </c>
      <c r="AB64" s="942">
        <f>IF('Available Funds'!AB54&gt;0,'Available Funds'!AB54,'Available Funds'!AB66)</f>
        <v>1502443.6179046298</v>
      </c>
    </row>
    <row r="65" spans="1:28" ht="15.75">
      <c r="B65" s="1029" t="s">
        <v>152</v>
      </c>
      <c r="C65" s="1043"/>
      <c r="D65" s="1043"/>
      <c r="E65" s="1043"/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947"/>
      <c r="Y65" s="947"/>
      <c r="Z65" s="947"/>
      <c r="AA65" s="947"/>
      <c r="AB65" s="947"/>
    </row>
    <row r="66" spans="1:28">
      <c r="B66" s="581" t="str">
        <f>+'Available Funds'!B67</f>
        <v>SBRHS Special Purpose</v>
      </c>
      <c r="C66" s="941">
        <f>'Available Funds'!C55</f>
        <v>0</v>
      </c>
      <c r="D66" s="941">
        <f>'Available Funds'!D55</f>
        <v>0</v>
      </c>
      <c r="E66" s="941">
        <f>'Available Funds'!E55</f>
        <v>0</v>
      </c>
      <c r="F66" s="941">
        <f>'Available Funds'!F55</f>
        <v>0</v>
      </c>
      <c r="G66" s="941">
        <f>'Available Funds'!G55</f>
        <v>0</v>
      </c>
      <c r="H66" s="941">
        <f>'Available Funds'!H55</f>
        <v>0</v>
      </c>
      <c r="I66" s="941">
        <f>'Available Funds'!I55</f>
        <v>0</v>
      </c>
      <c r="J66" s="941">
        <f>'Available Funds'!J55</f>
        <v>0</v>
      </c>
      <c r="K66" s="941">
        <f>'Available Funds'!K55</f>
        <v>0</v>
      </c>
      <c r="L66" s="941">
        <f>'Available Funds'!L55</f>
        <v>0</v>
      </c>
      <c r="M66" s="941">
        <f>'Available Funds'!M55</f>
        <v>0</v>
      </c>
      <c r="N66" s="941">
        <f>'Available Funds'!N55</f>
        <v>0</v>
      </c>
      <c r="O66" s="941">
        <f>'Available Funds'!O55</f>
        <v>0</v>
      </c>
      <c r="P66" s="941">
        <f>'Available Funds'!P55</f>
        <v>0</v>
      </c>
      <c r="Q66" s="941">
        <f>'Available Funds'!Q55</f>
        <v>0</v>
      </c>
      <c r="R66" s="941">
        <f>IF('Available Funds'!R55&gt;0,'Available Funds'!R55,'Available Funds'!R67)</f>
        <v>0</v>
      </c>
      <c r="S66" s="941" t="str">
        <f>IF('Available Funds'!S55&gt;0,'Available Funds'!S55,'Available Funds'!S67)</f>
        <v/>
      </c>
      <c r="T66" s="941">
        <f>IF('Available Funds'!T55&gt;0,'Available Funds'!T55,'Available Funds'!T67)</f>
        <v>0</v>
      </c>
      <c r="U66" s="941">
        <f>IF('Available Funds'!U55&gt;0,'Available Funds'!U55,'Available Funds'!U67)</f>
        <v>438697</v>
      </c>
      <c r="V66" s="941">
        <f>IF('Available Funds'!V55&gt;0,'Available Funds'!V55,'Available Funds'!V67)</f>
        <v>774502</v>
      </c>
      <c r="W66" s="941">
        <f>IF('Available Funds'!W55&gt;0,'Available Funds'!W55,'Available Funds'!W67)</f>
        <v>797827.64999999991</v>
      </c>
      <c r="X66" s="941">
        <f>IF('Available Funds'!X55&gt;0,'Available Funds'!X55,'Available Funds'!X67)</f>
        <v>787871.91624999931</v>
      </c>
      <c r="Y66" s="941">
        <f>IF('Available Funds'!Y55&gt;0,'Available Funds'!Y55,'Available Funds'!Y67)</f>
        <v>777667.28915624833</v>
      </c>
      <c r="Z66" s="941">
        <f>IF('Available Funds'!Z55&gt;0,'Available Funds'!Z55,'Available Funds'!Z67)</f>
        <v>767207.5463851532</v>
      </c>
      <c r="AA66" s="941">
        <f>IF('Available Funds'!AA55&gt;0,'Available Funds'!AA55,'Available Funds'!AA67)</f>
        <v>756486.31004478037</v>
      </c>
      <c r="AB66" s="941">
        <f>IF('Available Funds'!AB55&gt;0,'Available Funds'!AB55,'Available Funds'!AB67)</f>
        <v>745497.04279589793</v>
      </c>
    </row>
    <row r="67" spans="1:28">
      <c r="B67" s="581" t="str">
        <f>+'Available Funds'!B68</f>
        <v>#3</v>
      </c>
      <c r="C67" s="941">
        <f>'Available Funds'!C56</f>
        <v>0</v>
      </c>
      <c r="D67" s="941">
        <f>'Available Funds'!D56</f>
        <v>0</v>
      </c>
      <c r="E67" s="941">
        <f>'Available Funds'!E56</f>
        <v>0</v>
      </c>
      <c r="F67" s="941">
        <f>'Available Funds'!F56</f>
        <v>0</v>
      </c>
      <c r="G67" s="941">
        <f>'Available Funds'!G56</f>
        <v>0</v>
      </c>
      <c r="H67" s="941">
        <f>'Available Funds'!H56</f>
        <v>0</v>
      </c>
      <c r="I67" s="941">
        <f>'Available Funds'!I56</f>
        <v>0</v>
      </c>
      <c r="J67" s="941">
        <f>'Available Funds'!J56</f>
        <v>0</v>
      </c>
      <c r="K67" s="941">
        <f>'Available Funds'!K56</f>
        <v>0</v>
      </c>
      <c r="L67" s="941">
        <f>'Available Funds'!L56</f>
        <v>0</v>
      </c>
      <c r="M67" s="941">
        <f>'Available Funds'!M56</f>
        <v>0</v>
      </c>
      <c r="N67" s="941">
        <f>'Available Funds'!N56</f>
        <v>0</v>
      </c>
      <c r="O67" s="941">
        <f>'Available Funds'!O56</f>
        <v>0</v>
      </c>
      <c r="P67" s="941">
        <f>'Available Funds'!P56</f>
        <v>0</v>
      </c>
      <c r="Q67" s="941">
        <f>'Available Funds'!Q56</f>
        <v>0</v>
      </c>
      <c r="R67" s="941">
        <f>IF('Available Funds'!R56&gt;0,'Available Funds'!R56,'Available Funds'!R68)</f>
        <v>0</v>
      </c>
      <c r="S67" s="941">
        <f>IF('Available Funds'!S56&gt;0,'Available Funds'!S56,'Available Funds'!S68)</f>
        <v>0</v>
      </c>
      <c r="T67" s="941">
        <f>IF('Available Funds'!T56&gt;0,'Available Funds'!T56,'Available Funds'!T68)</f>
        <v>0</v>
      </c>
      <c r="U67" s="941">
        <f>IF('Available Funds'!U56&gt;0,'Available Funds'!U56,'Available Funds'!U68)</f>
        <v>0</v>
      </c>
      <c r="V67" s="941">
        <f>IF('Available Funds'!V56&gt;0,'Available Funds'!V56,'Available Funds'!V68)</f>
        <v>0</v>
      </c>
      <c r="W67" s="941">
        <f>IF('Available Funds'!W56&gt;0,'Available Funds'!W56,'Available Funds'!W68)</f>
        <v>0</v>
      </c>
      <c r="X67" s="941">
        <f>IF('Available Funds'!X56&gt;0,'Available Funds'!X56,'Available Funds'!X68)</f>
        <v>0</v>
      </c>
      <c r="Y67" s="941">
        <f>IF('Available Funds'!Y56&gt;0,'Available Funds'!Y56,'Available Funds'!Y68)</f>
        <v>0</v>
      </c>
      <c r="Z67" s="941">
        <f>IF('Available Funds'!AA56&gt;0,'Available Funds'!AA56,'Available Funds'!AA68)</f>
        <v>0</v>
      </c>
      <c r="AA67" s="941">
        <v>0</v>
      </c>
      <c r="AB67" s="941">
        <v>0</v>
      </c>
    </row>
    <row r="68" spans="1:28">
      <c r="B68" s="581" t="str">
        <f>+'Available Funds'!B69</f>
        <v>#4</v>
      </c>
      <c r="C68" s="941">
        <f>'Available Funds'!C57</f>
        <v>0</v>
      </c>
      <c r="D68" s="941">
        <f>'Available Funds'!D57</f>
        <v>0</v>
      </c>
      <c r="E68" s="941">
        <f>'Available Funds'!E57</f>
        <v>0</v>
      </c>
      <c r="F68" s="941">
        <f>'Available Funds'!F57</f>
        <v>0</v>
      </c>
      <c r="G68" s="941">
        <f>'Available Funds'!G57</f>
        <v>0</v>
      </c>
      <c r="H68" s="941">
        <f>'Available Funds'!H57</f>
        <v>0</v>
      </c>
      <c r="I68" s="941">
        <f>'Available Funds'!I57</f>
        <v>0</v>
      </c>
      <c r="J68" s="941">
        <f>'Available Funds'!J57</f>
        <v>0</v>
      </c>
      <c r="K68" s="941">
        <f>'Available Funds'!K57</f>
        <v>0</v>
      </c>
      <c r="L68" s="941">
        <f>'Available Funds'!L57</f>
        <v>0</v>
      </c>
      <c r="M68" s="941">
        <f>'Available Funds'!M57</f>
        <v>0</v>
      </c>
      <c r="N68" s="941">
        <f>'Available Funds'!N57</f>
        <v>0</v>
      </c>
      <c r="O68" s="941">
        <f>'Available Funds'!O57</f>
        <v>0</v>
      </c>
      <c r="P68" s="941">
        <f>'Available Funds'!P57</f>
        <v>0</v>
      </c>
      <c r="Q68" s="941">
        <f>'Available Funds'!Q57</f>
        <v>0</v>
      </c>
      <c r="R68" s="941">
        <f>IF('Available Funds'!R57&gt;0,'Available Funds'!R57,'Available Funds'!R69)</f>
        <v>0</v>
      </c>
      <c r="S68" s="941">
        <f>IF('Available Funds'!S57&gt;0,'Available Funds'!S57,'Available Funds'!S69)</f>
        <v>0</v>
      </c>
      <c r="T68" s="941">
        <f>IF('Available Funds'!T57&gt;0,'Available Funds'!T57,'Available Funds'!T69)</f>
        <v>0</v>
      </c>
      <c r="U68" s="941">
        <f>IF('Available Funds'!U57&gt;0,'Available Funds'!U57,'Available Funds'!U69)</f>
        <v>0</v>
      </c>
      <c r="V68" s="941">
        <f>IF('Available Funds'!V57&gt;0,'Available Funds'!V57,'Available Funds'!V69)</f>
        <v>0</v>
      </c>
      <c r="W68" s="941">
        <f>IF('Available Funds'!W57&gt;0,'Available Funds'!W57,'Available Funds'!W69)</f>
        <v>0</v>
      </c>
      <c r="X68" s="941">
        <f>IF('Available Funds'!X57&gt;0,'Available Funds'!X57,'Available Funds'!X69)</f>
        <v>0</v>
      </c>
      <c r="Y68" s="941">
        <f>IF('Available Funds'!Y57&gt;0,'Available Funds'!Y57,'Available Funds'!Y69)</f>
        <v>0</v>
      </c>
      <c r="Z68" s="941">
        <f>IF('Available Funds'!AA57&gt;0,'Available Funds'!AA57,'Available Funds'!AA69)</f>
        <v>0</v>
      </c>
      <c r="AA68" s="941">
        <v>0</v>
      </c>
      <c r="AB68" s="941">
        <v>0</v>
      </c>
    </row>
    <row r="69" spans="1:28">
      <c r="B69" s="581" t="str">
        <f>+'Available Funds'!B70</f>
        <v>#5</v>
      </c>
      <c r="C69" s="941">
        <f>'Available Funds'!C58</f>
        <v>0</v>
      </c>
      <c r="D69" s="941">
        <f>'Available Funds'!D58</f>
        <v>0</v>
      </c>
      <c r="E69" s="941">
        <f>'Available Funds'!E58</f>
        <v>0</v>
      </c>
      <c r="F69" s="941">
        <f>'Available Funds'!F58</f>
        <v>0</v>
      </c>
      <c r="G69" s="941">
        <f>'Available Funds'!G58</f>
        <v>0</v>
      </c>
      <c r="H69" s="941">
        <f>'Available Funds'!H58</f>
        <v>0</v>
      </c>
      <c r="I69" s="941">
        <f>'Available Funds'!I58</f>
        <v>0</v>
      </c>
      <c r="J69" s="941">
        <f>'Available Funds'!J58</f>
        <v>0</v>
      </c>
      <c r="K69" s="941">
        <f>'Available Funds'!K58</f>
        <v>0</v>
      </c>
      <c r="L69" s="941">
        <f>'Available Funds'!L58</f>
        <v>0</v>
      </c>
      <c r="M69" s="941">
        <f>'Available Funds'!M58</f>
        <v>0</v>
      </c>
      <c r="N69" s="941">
        <f>'Available Funds'!N58</f>
        <v>0</v>
      </c>
      <c r="O69" s="941">
        <f>'Available Funds'!O58</f>
        <v>0</v>
      </c>
      <c r="P69" s="941">
        <f>'Available Funds'!P58</f>
        <v>0</v>
      </c>
      <c r="Q69" s="941">
        <f>'Available Funds'!Q58</f>
        <v>0</v>
      </c>
      <c r="R69" s="941">
        <f>IF('Available Funds'!R58&gt;0,'Available Funds'!R58,'Available Funds'!R70)</f>
        <v>0</v>
      </c>
      <c r="S69" s="941">
        <f>IF('Available Funds'!S58&gt;0,'Available Funds'!S58,'Available Funds'!S70)</f>
        <v>0</v>
      </c>
      <c r="T69" s="941">
        <f>IF('Available Funds'!T58&gt;0,'Available Funds'!T58,'Available Funds'!T70)</f>
        <v>0</v>
      </c>
      <c r="U69" s="941">
        <f>IF('Available Funds'!U58&gt;0,'Available Funds'!U58,'Available Funds'!U70)</f>
        <v>0</v>
      </c>
      <c r="V69" s="941">
        <f>IF('Available Funds'!V58&gt;0,'Available Funds'!V58,'Available Funds'!V70)</f>
        <v>0</v>
      </c>
      <c r="W69" s="941">
        <f>IF('Available Funds'!W58&gt;0,'Available Funds'!W58,'Available Funds'!W70)</f>
        <v>0</v>
      </c>
      <c r="X69" s="941">
        <f>IF('Available Funds'!X58&gt;0,'Available Funds'!X58,'Available Funds'!X70)</f>
        <v>0</v>
      </c>
      <c r="Y69" s="941">
        <f>IF('Available Funds'!Y58&gt;0,'Available Funds'!Y58,'Available Funds'!Y70)</f>
        <v>0</v>
      </c>
      <c r="Z69" s="941">
        <f>IF('Available Funds'!AA58&gt;0,'Available Funds'!AA58,'Available Funds'!AA70)</f>
        <v>0</v>
      </c>
      <c r="AA69" s="941">
        <v>0</v>
      </c>
      <c r="AB69" s="941">
        <v>0</v>
      </c>
    </row>
    <row r="70" spans="1:28">
      <c r="B70" s="581" t="str">
        <f>+'Available Funds'!B71</f>
        <v>#6</v>
      </c>
      <c r="C70" s="941">
        <f>'Available Funds'!C59</f>
        <v>0</v>
      </c>
      <c r="D70" s="941">
        <f>'Available Funds'!D59</f>
        <v>0</v>
      </c>
      <c r="E70" s="941">
        <f>'Available Funds'!E59</f>
        <v>0</v>
      </c>
      <c r="F70" s="941">
        <f>'Available Funds'!F59</f>
        <v>0</v>
      </c>
      <c r="G70" s="941">
        <f>'Available Funds'!G59</f>
        <v>0</v>
      </c>
      <c r="H70" s="941">
        <f>'Available Funds'!H59</f>
        <v>0</v>
      </c>
      <c r="I70" s="941">
        <f>'Available Funds'!I59</f>
        <v>0</v>
      </c>
      <c r="J70" s="941">
        <f>'Available Funds'!J59</f>
        <v>0</v>
      </c>
      <c r="K70" s="941">
        <f>'Available Funds'!K59</f>
        <v>0</v>
      </c>
      <c r="L70" s="941">
        <f>'Available Funds'!L59</f>
        <v>0</v>
      </c>
      <c r="M70" s="941">
        <f>'Available Funds'!M59</f>
        <v>0</v>
      </c>
      <c r="N70" s="941">
        <f>'Available Funds'!N59</f>
        <v>0</v>
      </c>
      <c r="O70" s="941">
        <f>'Available Funds'!O59</f>
        <v>0</v>
      </c>
      <c r="P70" s="941">
        <f>'Available Funds'!P59</f>
        <v>0</v>
      </c>
      <c r="Q70" s="941">
        <f>'Available Funds'!Q59</f>
        <v>0</v>
      </c>
      <c r="R70" s="941">
        <f>IF('Available Funds'!R59&gt;0,'Available Funds'!R59,'Available Funds'!R71)</f>
        <v>0</v>
      </c>
      <c r="S70" s="941">
        <f>IF('Available Funds'!S59&gt;0,'Available Funds'!S59,'Available Funds'!S71)</f>
        <v>0</v>
      </c>
      <c r="T70" s="941">
        <f>IF('Available Funds'!T59&gt;0,'Available Funds'!T59,'Available Funds'!T71)</f>
        <v>0</v>
      </c>
      <c r="U70" s="941">
        <f>IF('Available Funds'!U59&gt;0,'Available Funds'!U59,'Available Funds'!U71)</f>
        <v>0</v>
      </c>
      <c r="V70" s="941">
        <f>IF('Available Funds'!V59&gt;0,'Available Funds'!V59,'Available Funds'!V71)</f>
        <v>0</v>
      </c>
      <c r="W70" s="941">
        <f>IF('Available Funds'!W59&gt;0,'Available Funds'!W59,'Available Funds'!W71)</f>
        <v>0</v>
      </c>
      <c r="X70" s="941">
        <f>IF('Available Funds'!X59&gt;0,'Available Funds'!X59,'Available Funds'!X71)</f>
        <v>0</v>
      </c>
      <c r="Y70" s="941">
        <f>IF('Available Funds'!Y59&gt;0,'Available Funds'!Y59,'Available Funds'!Y71)</f>
        <v>0</v>
      </c>
      <c r="Z70" s="941">
        <f>IF('Available Funds'!AA59&gt;0,'Available Funds'!AA59,'Available Funds'!AA71)</f>
        <v>0</v>
      </c>
      <c r="AA70" s="941">
        <v>0</v>
      </c>
      <c r="AB70" s="941">
        <v>0</v>
      </c>
    </row>
    <row r="71" spans="1:28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>
      <c r="B72" s="37" t="s">
        <v>153</v>
      </c>
      <c r="C72" s="169">
        <f>'Available Funds'!C62</f>
        <v>0</v>
      </c>
      <c r="D72" s="169">
        <f>'Available Funds'!D62</f>
        <v>0</v>
      </c>
      <c r="E72" s="169">
        <f>'Available Funds'!E62</f>
        <v>0</v>
      </c>
      <c r="F72" s="169">
        <f>'Available Funds'!F62</f>
        <v>0</v>
      </c>
      <c r="G72" s="169">
        <f>'Available Funds'!G62</f>
        <v>0</v>
      </c>
      <c r="H72" s="169">
        <f>'Available Funds'!H62</f>
        <v>0</v>
      </c>
      <c r="I72" s="169">
        <f>'Available Funds'!I62</f>
        <v>0</v>
      </c>
      <c r="J72" s="169">
        <f>'Available Funds'!J62</f>
        <v>0</v>
      </c>
      <c r="K72" s="169">
        <f>'Available Funds'!K62</f>
        <v>0</v>
      </c>
      <c r="L72" s="169">
        <f>'Available Funds'!L62</f>
        <v>0</v>
      </c>
      <c r="M72" s="169">
        <f>'Available Funds'!M62</f>
        <v>0</v>
      </c>
      <c r="N72" s="169">
        <f>'Available Funds'!N62</f>
        <v>0</v>
      </c>
      <c r="O72" s="169">
        <f>'Available Funds'!O62</f>
        <v>0</v>
      </c>
      <c r="P72" s="169">
        <f>'Available Funds'!P62</f>
        <v>0</v>
      </c>
      <c r="Q72" s="169">
        <f>'Available Funds'!Q62</f>
        <v>0</v>
      </c>
      <c r="R72" s="169">
        <f>IF('Available Funds'!R62&gt;0,'Available Funds'!R62,'Available Funds'!R73)</f>
        <v>0</v>
      </c>
      <c r="S72" s="169">
        <f>IF('Available Funds'!S62&gt;0,'Available Funds'!S62,'Available Funds'!S73)</f>
        <v>0</v>
      </c>
      <c r="T72" s="169">
        <f>IF('Available Funds'!T62&gt;0,'Available Funds'!T62,'Available Funds'!T73)</f>
        <v>22556.219999999998</v>
      </c>
      <c r="U72" s="169">
        <f>IF('Available Funds'!U62&gt;0,'Available Funds'!U62,'Available Funds'!U73)</f>
        <v>57844.001099999994</v>
      </c>
      <c r="V72" s="169">
        <f>IF('Available Funds'!V62&gt;0,'Available Funds'!V62,'Available Funds'!V73)</f>
        <v>58133.221105499986</v>
      </c>
      <c r="W72" s="169">
        <v>0</v>
      </c>
      <c r="X72" s="169">
        <v>0</v>
      </c>
      <c r="Y72" s="169">
        <v>0</v>
      </c>
      <c r="Z72" s="169">
        <v>0</v>
      </c>
      <c r="AA72" s="169">
        <v>0</v>
      </c>
      <c r="AB72" s="169">
        <v>0</v>
      </c>
    </row>
    <row r="75" spans="1:28">
      <c r="A75" s="952" t="s">
        <v>142</v>
      </c>
      <c r="B75" s="27" t="s">
        <v>154</v>
      </c>
    </row>
    <row r="76" spans="1:28">
      <c r="B76" s="71" t="s">
        <v>155</v>
      </c>
      <c r="P76" s="71"/>
    </row>
  </sheetData>
  <mergeCells count="2">
    <mergeCell ref="AE7:AE11"/>
    <mergeCell ref="B65:W65"/>
  </mergeCells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ignoredErrors>
    <ignoredError sqref="N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AF63"/>
  <sheetViews>
    <sheetView showGridLines="0" zoomScaleNormal="100" zoomScaleSheetLayoutView="100" workbookViewId="0">
      <pane xSplit="2" ySplit="5" topLeftCell="Q31" activePane="bottomRight" state="frozen"/>
      <selection pane="bottomRight" activeCell="X29" sqref="X29"/>
      <selection pane="bottomLeft" activeCell="A7" sqref="A7"/>
      <selection pane="topRight" activeCell="B1" sqref="B1"/>
    </sheetView>
  </sheetViews>
  <sheetFormatPr defaultColWidth="9.375" defaultRowHeight="12"/>
  <cols>
    <col min="1" max="1" width="2.5" style="206" customWidth="1"/>
    <col min="2" max="2" width="30.375" style="32" customWidth="1"/>
    <col min="3" max="11" width="9.75" style="32" customWidth="1"/>
    <col min="12" max="13" width="9.75" style="46" customWidth="1"/>
    <col min="14" max="28" width="9.75" style="47" customWidth="1"/>
    <col min="29" max="29" width="5.625" style="727" customWidth="1"/>
    <col min="30" max="30" width="14.75" style="76" customWidth="1"/>
    <col min="31" max="31" width="2.5" style="49" customWidth="1"/>
    <col min="32" max="32" width="42.75" style="49" bestFit="1" customWidth="1"/>
    <col min="33" max="259" width="9.375" style="49" customWidth="1"/>
    <col min="260" max="16384" width="9.375" style="49"/>
  </cols>
  <sheetData>
    <row r="1" spans="1:32" s="41" customFormat="1">
      <c r="A1" s="214"/>
      <c r="B1" s="38" t="str">
        <f>Summary!B1</f>
        <v>Municipality of Berkley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680"/>
      <c r="AD1" s="157"/>
      <c r="AE1" s="42"/>
    </row>
    <row r="2" spans="1:32" s="41" customFormat="1">
      <c r="A2" s="214"/>
      <c r="B2" s="43" t="s">
        <v>156</v>
      </c>
      <c r="C2" s="44"/>
      <c r="D2" s="44"/>
      <c r="E2" s="44"/>
      <c r="F2" s="44"/>
      <c r="G2" s="44"/>
      <c r="H2" s="44"/>
      <c r="I2" s="44"/>
      <c r="J2" s="44"/>
      <c r="K2" s="4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680"/>
      <c r="AD2" s="157"/>
      <c r="AE2" s="42"/>
    </row>
    <row r="3" spans="1:32">
      <c r="B3" s="45"/>
      <c r="C3" s="45"/>
      <c r="D3" s="45"/>
      <c r="E3" s="45"/>
      <c r="F3" s="45"/>
      <c r="G3" s="45"/>
      <c r="H3" s="45"/>
      <c r="I3" s="45"/>
      <c r="J3" s="45"/>
      <c r="K3" s="45"/>
      <c r="AE3" s="50"/>
    </row>
    <row r="4" spans="1:32">
      <c r="C4" s="172" t="s">
        <v>82</v>
      </c>
      <c r="D4" s="172" t="s">
        <v>83</v>
      </c>
      <c r="E4" s="172" t="s">
        <v>84</v>
      </c>
      <c r="F4" s="172" t="s">
        <v>85</v>
      </c>
      <c r="G4" s="172" t="s">
        <v>86</v>
      </c>
      <c r="H4" s="172" t="s">
        <v>87</v>
      </c>
      <c r="I4" s="172" t="s">
        <v>88</v>
      </c>
      <c r="J4" s="172" t="s">
        <v>89</v>
      </c>
      <c r="K4" s="99" t="s">
        <v>90</v>
      </c>
      <c r="L4" s="173" t="s">
        <v>91</v>
      </c>
      <c r="M4" s="173" t="s">
        <v>92</v>
      </c>
      <c r="N4" s="51" t="s">
        <v>93</v>
      </c>
      <c r="O4" s="51" t="s">
        <v>94</v>
      </c>
      <c r="P4" s="51" t="s">
        <v>95</v>
      </c>
      <c r="Q4" s="51" t="s">
        <v>96</v>
      </c>
      <c r="R4" s="51" t="s">
        <v>97</v>
      </c>
      <c r="S4" s="51" t="s">
        <v>98</v>
      </c>
      <c r="T4" s="51" t="s">
        <v>99</v>
      </c>
      <c r="U4" s="51" t="s">
        <v>100</v>
      </c>
      <c r="V4" s="51" t="s">
        <v>101</v>
      </c>
      <c r="W4" s="51" t="s">
        <v>102</v>
      </c>
      <c r="X4" s="51" t="s">
        <v>103</v>
      </c>
      <c r="Y4" s="51" t="s">
        <v>104</v>
      </c>
      <c r="Z4" s="51" t="s">
        <v>105</v>
      </c>
      <c r="AA4" s="51" t="s">
        <v>106</v>
      </c>
      <c r="AB4" s="51" t="s">
        <v>107</v>
      </c>
      <c r="AC4" s="728"/>
      <c r="AD4" s="52" t="s">
        <v>157</v>
      </c>
      <c r="AF4" s="53"/>
    </row>
    <row r="5" spans="1:32">
      <c r="C5" s="6" t="s">
        <v>158</v>
      </c>
      <c r="D5" s="6" t="s">
        <v>158</v>
      </c>
      <c r="E5" s="6" t="s">
        <v>158</v>
      </c>
      <c r="F5" s="6" t="s">
        <v>158</v>
      </c>
      <c r="G5" s="6" t="s">
        <v>158</v>
      </c>
      <c r="H5" s="6" t="s">
        <v>158</v>
      </c>
      <c r="I5" s="6" t="s">
        <v>158</v>
      </c>
      <c r="J5" s="6" t="s">
        <v>158</v>
      </c>
      <c r="K5" s="6" t="s">
        <v>158</v>
      </c>
      <c r="L5" s="173" t="s">
        <v>158</v>
      </c>
      <c r="M5" s="173" t="s">
        <v>158</v>
      </c>
      <c r="N5" s="173" t="s">
        <v>158</v>
      </c>
      <c r="O5" s="51" t="s">
        <v>158</v>
      </c>
      <c r="P5" s="51" t="s">
        <v>158</v>
      </c>
      <c r="Q5" s="51" t="s">
        <v>158</v>
      </c>
      <c r="R5" s="51" t="s">
        <v>158</v>
      </c>
      <c r="S5" s="51" t="s">
        <v>158</v>
      </c>
      <c r="T5" s="51" t="s">
        <v>158</v>
      </c>
      <c r="U5" s="51" t="s">
        <v>158</v>
      </c>
      <c r="V5" s="51" t="s">
        <v>158</v>
      </c>
      <c r="W5" s="51" t="s">
        <v>158</v>
      </c>
      <c r="X5" s="51" t="s">
        <v>159</v>
      </c>
      <c r="Y5" s="51" t="s">
        <v>159</v>
      </c>
      <c r="Z5" s="51" t="s">
        <v>159</v>
      </c>
      <c r="AA5" s="51" t="s">
        <v>159</v>
      </c>
      <c r="AB5" s="51" t="s">
        <v>159</v>
      </c>
      <c r="AC5" s="728"/>
      <c r="AD5" s="54" t="s">
        <v>160</v>
      </c>
      <c r="AE5" s="55"/>
      <c r="AF5" s="53"/>
    </row>
    <row r="6" spans="1:32">
      <c r="B6" s="2" t="s">
        <v>161</v>
      </c>
      <c r="C6" s="2"/>
      <c r="D6" s="2"/>
      <c r="E6" s="2"/>
      <c r="F6" s="62"/>
      <c r="G6" s="62"/>
      <c r="H6" s="62"/>
      <c r="I6" s="62"/>
      <c r="J6" s="174"/>
      <c r="K6" s="174"/>
    </row>
    <row r="7" spans="1:32">
      <c r="B7" s="14" t="s">
        <v>162</v>
      </c>
      <c r="C7" s="179">
        <f>IF('Tax Levy'!C27&gt;'Tax Levy'!C12,'Tax Levy'!C12,'Tax Levy'!C27)</f>
        <v>5089557</v>
      </c>
      <c r="D7" s="179">
        <f>IF('Tax Levy'!D27&gt;'Tax Levy'!D12,'Tax Levy'!D12,'Tax Levy'!D27)</f>
        <v>5328146</v>
      </c>
      <c r="E7" s="179">
        <f>IF('Tax Levy'!E27&gt;'Tax Levy'!E12,'Tax Levy'!E12,'Tax Levy'!E27)</f>
        <v>5572606</v>
      </c>
      <c r="F7" s="179">
        <f>IF('Tax Levy'!F27&gt;'Tax Levy'!F12,'Tax Levy'!F12,'Tax Levy'!F27)</f>
        <v>5841596</v>
      </c>
      <c r="G7" s="179">
        <f>IF('Tax Levy'!G27&gt;'Tax Levy'!G12,'Tax Levy'!G12,'Tax Levy'!G27)</f>
        <v>6036302</v>
      </c>
      <c r="H7" s="179">
        <f>IF('Tax Levy'!H27&gt;'Tax Levy'!H12,'Tax Levy'!H12,'Tax Levy'!H27)</f>
        <v>7018121</v>
      </c>
      <c r="I7" s="179">
        <f>IF('Tax Levy'!I27&gt;'Tax Levy'!I12,'Tax Levy'!I12,'Tax Levy'!I27)</f>
        <v>7258376</v>
      </c>
      <c r="J7" s="179">
        <f>IF('Tax Levy'!J27&gt;'Tax Levy'!J12,'Tax Levy'!J12,'Tax Levy'!J27)</f>
        <v>7497156</v>
      </c>
      <c r="K7" s="179">
        <f>IF('Tax Levy'!K27&gt;'Tax Levy'!K12,'Tax Levy'!K12,'Tax Levy'!K27)</f>
        <v>7763010</v>
      </c>
      <c r="L7" s="179">
        <f>IF('Tax Levy'!L27&gt;'Tax Levy'!L12,'Tax Levy'!L12,'Tax Levy'!L27)</f>
        <v>8071496</v>
      </c>
      <c r="M7" s="179">
        <f>IF('Tax Levy'!M27&gt;'Tax Levy'!M12,'Tax Levy'!M12,'Tax Levy'!M27)</f>
        <v>8347815</v>
      </c>
      <c r="N7" s="179">
        <f>IF('Tax Levy'!N27&gt;'Tax Levy'!N12,'Tax Levy'!N12,'Tax Levy'!N27)</f>
        <v>8689220</v>
      </c>
      <c r="O7" s="179">
        <f>IF('Tax Levy'!O27&gt;'Tax Levy'!O12,'Tax Levy'!O12,'Tax Levy'!O27)</f>
        <v>9049929</v>
      </c>
      <c r="P7" s="179">
        <f>IF('Tax Levy'!P27&gt;'Tax Levy'!P12,'Tax Levy'!P12,'Tax Levy'!P27)</f>
        <v>9457292</v>
      </c>
      <c r="Q7" s="179">
        <f>IF('Tax Levy'!Q27&gt;'Tax Levy'!Q12,'Tax Levy'!Q12,'Tax Levy'!Q27)</f>
        <v>9873801</v>
      </c>
      <c r="R7" s="179">
        <f>IF('Tax Levy'!R27&gt;'Tax Levy'!R12,'Tax Levy'!R12,'Tax Levy'!R27)</f>
        <v>10328891</v>
      </c>
      <c r="S7" s="179">
        <f>IF('Tax Levy'!S27&gt;'Tax Levy'!S12,'Tax Levy'!S12,'Tax Levy'!S27)</f>
        <v>10781345</v>
      </c>
      <c r="T7" s="179">
        <f>IF('Tax Levy'!T27&gt;'Tax Levy'!T12,'Tax Levy'!T12,'Tax Levy'!T27)</f>
        <v>11219281</v>
      </c>
      <c r="U7" s="179">
        <f>IF('Tax Levy'!U27&gt;'Tax Levy'!U12,'Tax Levy'!U12,'Tax Levy'!U27)</f>
        <v>11721724</v>
      </c>
      <c r="V7" s="179">
        <f>IF('Tax Levy'!V27&gt;'Tax Levy'!V12,'Tax Levy'!V12,'Tax Levy'!V27)</f>
        <v>12171112</v>
      </c>
      <c r="W7" s="179">
        <f>IF('Tax Levy'!W27&gt;'Tax Levy'!W12,'Tax Levy'!W12,'Tax Levy'!W27)</f>
        <v>12635004</v>
      </c>
      <c r="X7" s="179">
        <f>IF('Tax Levy'!X27&gt;'Tax Levy'!X12,'Tax Levy'!X12,'Tax Levy'!X27)</f>
        <v>13110879</v>
      </c>
      <c r="Y7" s="179">
        <f>IF('Tax Levy'!Y27&gt;'Tax Levy'!Y12,'Tax Levy'!Y12,'Tax Levy'!Y27)</f>
        <v>13598651</v>
      </c>
      <c r="Z7" s="179">
        <f>IF('Tax Levy'!Z27&gt;'Tax Levy'!Z12,'Tax Levy'!Z12,'Tax Levy'!Z27)</f>
        <v>14098617</v>
      </c>
      <c r="AA7" s="179">
        <f>IF('Tax Levy'!AA27&gt;'Tax Levy'!AA12,'Tax Levy'!AA12,'Tax Levy'!AA27)</f>
        <v>14611082</v>
      </c>
      <c r="AB7" s="179">
        <f>IF('Tax Levy'!AB27&gt;'Tax Levy'!AB12,'Tax Levy'!AB12,'Tax Levy'!AB27)</f>
        <v>15136360</v>
      </c>
      <c r="AC7" s="65"/>
      <c r="AD7" s="776" t="s">
        <v>163</v>
      </c>
      <c r="AE7" s="56"/>
      <c r="AF7" s="49" t="s">
        <v>164</v>
      </c>
    </row>
    <row r="8" spans="1:32">
      <c r="B8" s="229" t="s">
        <v>165</v>
      </c>
      <c r="C8" s="179">
        <f>'Tax Levy'!C13</f>
        <v>485638</v>
      </c>
      <c r="D8" s="179">
        <f>'Tax Levy'!D13</f>
        <v>688242</v>
      </c>
      <c r="E8" s="179">
        <f>'Tax Levy'!E13</f>
        <v>192196</v>
      </c>
      <c r="F8" s="179">
        <f>'Tax Levy'!F13</f>
        <v>588206</v>
      </c>
      <c r="G8" s="179">
        <f>'Tax Levy'!G13</f>
        <v>444543</v>
      </c>
      <c r="H8" s="179">
        <f>'Tax Levy'!H13</f>
        <v>440480</v>
      </c>
      <c r="I8" s="179">
        <f>'Tax Levy'!I13</f>
        <v>222322</v>
      </c>
      <c r="J8" s="179">
        <f>'Tax Levy'!J13</f>
        <v>1877144</v>
      </c>
      <c r="K8" s="179">
        <f>'Tax Levy'!K13</f>
        <v>447346</v>
      </c>
      <c r="L8" s="179">
        <f>'Tax Levy'!L13</f>
        <v>649846</v>
      </c>
      <c r="M8" s="179">
        <f>'Tax Levy'!M13</f>
        <v>1230208</v>
      </c>
      <c r="N8" s="179">
        <f>'Tax Levy'!N13</f>
        <v>1292598</v>
      </c>
      <c r="O8" s="179">
        <f>'Tax Levy'!O13</f>
        <v>1300225</v>
      </c>
      <c r="P8" s="179">
        <f>'Tax Levy'!P13</f>
        <v>1154247</v>
      </c>
      <c r="Q8" s="179">
        <f>'Tax Levy'!Q13</f>
        <v>1172256</v>
      </c>
      <c r="R8" s="179">
        <f>'Tax Levy'!R13</f>
        <v>959795</v>
      </c>
      <c r="S8" s="179">
        <f>'Tax Levy'!S13</f>
        <v>929046</v>
      </c>
      <c r="T8" s="179">
        <f>'Tax Levy'!T13</f>
        <v>817940</v>
      </c>
      <c r="U8" s="179">
        <f>'Tax Levy'!U13</f>
        <v>1035625</v>
      </c>
      <c r="V8" s="179">
        <f>'Tax Levy'!V13</f>
        <v>1213996</v>
      </c>
      <c r="W8" s="179">
        <f>'Tax Levy'!W13</f>
        <v>1856510</v>
      </c>
      <c r="X8" s="179">
        <f>'Tax Levy'!X13</f>
        <v>3867342</v>
      </c>
      <c r="Y8" s="179">
        <f>'Tax Levy'!Y13</f>
        <v>4659265</v>
      </c>
      <c r="Z8" s="179">
        <f>'Tax Levy'!Z13</f>
        <v>4686456</v>
      </c>
      <c r="AA8" s="179">
        <f>'Tax Levy'!AA13</f>
        <v>4685587</v>
      </c>
      <c r="AB8" s="179">
        <f>'Tax Levy'!AB13</f>
        <v>4684232</v>
      </c>
      <c r="AC8" s="65"/>
      <c r="AD8" s="681"/>
      <c r="AE8" s="56"/>
    </row>
    <row r="9" spans="1:32">
      <c r="B9" s="229" t="s">
        <v>166</v>
      </c>
      <c r="C9" s="179">
        <f>'Tax Levy'!C14</f>
        <v>0</v>
      </c>
      <c r="D9" s="179">
        <f>'Tax Levy'!D14</f>
        <v>0</v>
      </c>
      <c r="E9" s="179">
        <f>'Tax Levy'!E14</f>
        <v>0</v>
      </c>
      <c r="F9" s="179">
        <f>'Tax Levy'!F14</f>
        <v>0</v>
      </c>
      <c r="G9" s="179">
        <f>'Tax Levy'!G14</f>
        <v>0</v>
      </c>
      <c r="H9" s="179">
        <f>'Tax Levy'!H14</f>
        <v>0</v>
      </c>
      <c r="I9" s="179">
        <f>'Tax Levy'!I14</f>
        <v>0</v>
      </c>
      <c r="J9" s="179">
        <f>'Tax Levy'!J14</f>
        <v>0</v>
      </c>
      <c r="K9" s="179">
        <f>'Tax Levy'!K14</f>
        <v>0</v>
      </c>
      <c r="L9" s="179">
        <f>'Tax Levy'!L14</f>
        <v>0</v>
      </c>
      <c r="M9" s="179">
        <f>'Tax Levy'!M14</f>
        <v>0</v>
      </c>
      <c r="N9" s="179">
        <f>'Tax Levy'!N14</f>
        <v>0</v>
      </c>
      <c r="O9" s="179">
        <f>'Tax Levy'!O14</f>
        <v>0</v>
      </c>
      <c r="P9" s="179">
        <f>'Tax Levy'!P14</f>
        <v>0</v>
      </c>
      <c r="Q9" s="179">
        <f>'Tax Levy'!Q14</f>
        <v>0</v>
      </c>
      <c r="R9" s="179">
        <f>'Tax Levy'!R14</f>
        <v>0</v>
      </c>
      <c r="S9" s="179">
        <f>'Tax Levy'!S14</f>
        <v>0</v>
      </c>
      <c r="T9" s="179">
        <f>'Tax Levy'!T14</f>
        <v>0</v>
      </c>
      <c r="U9" s="179">
        <f>'Tax Levy'!U14</f>
        <v>0</v>
      </c>
      <c r="V9" s="179">
        <f>'Tax Levy'!V14</f>
        <v>0</v>
      </c>
      <c r="W9" s="179">
        <f>'Tax Levy'!W14</f>
        <v>0</v>
      </c>
      <c r="X9" s="179">
        <f>'Tax Levy'!X14</f>
        <v>0</v>
      </c>
      <c r="Y9" s="179">
        <f>'Tax Levy'!Y14</f>
        <v>0</v>
      </c>
      <c r="Z9" s="179">
        <f>'Tax Levy'!AA14</f>
        <v>0</v>
      </c>
      <c r="AA9" s="179">
        <f>'Tax Levy'!AD14</f>
        <v>0</v>
      </c>
      <c r="AB9" s="179">
        <f>'Tax Levy'!AE14</f>
        <v>0</v>
      </c>
      <c r="AC9" s="65"/>
      <c r="AD9" s="682"/>
      <c r="AE9" s="56"/>
    </row>
    <row r="10" spans="1:32">
      <c r="B10" s="229" t="s">
        <v>167</v>
      </c>
      <c r="C10" s="179">
        <f>+'Tax Levy'!C15+'Tax Levy'!C16+'Tax Levy'!C17</f>
        <v>0</v>
      </c>
      <c r="D10" s="309">
        <f>+'Tax Levy'!D15+'Tax Levy'!D16+'Tax Levy'!D17</f>
        <v>800000</v>
      </c>
      <c r="E10" s="309">
        <f>+'Tax Levy'!E15+'Tax Levy'!E16+'Tax Levy'!E17</f>
        <v>820000</v>
      </c>
      <c r="F10" s="309">
        <f>+'Tax Levy'!F15+'Tax Levy'!F16+'Tax Levy'!F17</f>
        <v>840500</v>
      </c>
      <c r="G10" s="309">
        <f>+'Tax Levy'!G15+'Tax Levy'!G16+'Tax Levy'!G17</f>
        <v>0</v>
      </c>
      <c r="H10" s="309">
        <f>+'Tax Levy'!H15+'Tax Levy'!H16+'Tax Levy'!H17</f>
        <v>1383051</v>
      </c>
      <c r="I10" s="309">
        <f>+'Tax Levy'!I15+'Tax Levy'!I16+'Tax Levy'!I17</f>
        <v>1417626</v>
      </c>
      <c r="J10" s="309">
        <f>+'Tax Levy'!J15+'Tax Levy'!J16+'Tax Levy'!J17</f>
        <v>0</v>
      </c>
      <c r="K10" s="309">
        <f>+'Tax Levy'!K15+'Tax Levy'!K16+'Tax Levy'!K17</f>
        <v>1489393</v>
      </c>
      <c r="L10" s="309">
        <f>+'Tax Levy'!L15+'Tax Levy'!L16+'Tax Levy'!L17</f>
        <v>1526628</v>
      </c>
      <c r="M10" s="309">
        <f>+'Tax Levy'!M15+'Tax Levy'!M16+'Tax Levy'!M17</f>
        <v>1564794</v>
      </c>
      <c r="N10" s="309">
        <f>+'Tax Levy'!N15+'Tax Levy'!N16+'Tax Levy'!N17</f>
        <v>1603914</v>
      </c>
      <c r="O10" s="309">
        <f>+'Tax Levy'!O15+'Tax Levy'!O16+'Tax Levy'!O17</f>
        <v>1644012</v>
      </c>
      <c r="P10" s="309">
        <f>+'Tax Levy'!P15+'Tax Levy'!P16+'Tax Levy'!P17</f>
        <v>2555112</v>
      </c>
      <c r="Q10" s="309">
        <f>+'Tax Levy'!Q15+'Tax Levy'!Q16+'Tax Levy'!Q17</f>
        <v>2618990</v>
      </c>
      <c r="R10" s="309">
        <f>+'Tax Levy'!R15+'Tax Levy'!R16+'Tax Levy'!R17</f>
        <v>2684465</v>
      </c>
      <c r="S10" s="309">
        <f>+'Tax Levy'!S15+'Tax Levy'!S16+'Tax Levy'!S17</f>
        <v>2751577</v>
      </c>
      <c r="T10" s="309">
        <f>+'Tax Levy'!T15+'Tax Levy'!T16+'Tax Levy'!T17</f>
        <v>2820366</v>
      </c>
      <c r="U10" s="309">
        <f>+'Tax Levy'!U15+'Tax Levy'!U16+'Tax Levy'!U17</f>
        <v>2890875</v>
      </c>
      <c r="V10" s="309">
        <f>+'Tax Levy'!V15+'Tax Levy'!V16+'Tax Levy'!V17</f>
        <v>2963146</v>
      </c>
      <c r="W10" s="309">
        <f>+'Tax Levy'!W15+'Tax Levy'!W16+'Tax Levy'!W17</f>
        <v>3037224.65</v>
      </c>
      <c r="X10" s="309">
        <f>+'Tax Levy'!X15+'Tax Levy'!X16+'Tax Levy'!X17</f>
        <v>7987713.6662499998</v>
      </c>
      <c r="Y10" s="309">
        <f>+'Tax Levy'!Y15+'Tax Levy'!Y16+'Tax Levy'!Y17</f>
        <v>8187406.5079062488</v>
      </c>
      <c r="Z10" s="309">
        <f>+'Tax Levy'!Z15+'Tax Levy'!Z16+'Tax Levy'!Z17</f>
        <v>8392091.6706039049</v>
      </c>
      <c r="AA10" s="309">
        <f>+'Tax Levy'!AA15+'Tax Levy'!AA16+'Tax Levy'!AA17</f>
        <v>8601893.9623690024</v>
      </c>
      <c r="AB10" s="309">
        <f>+'Tax Levy'!AB15+'Tax Levy'!AB16+'Tax Levy'!AB17</f>
        <v>8816941.3114282265</v>
      </c>
      <c r="AC10" s="65"/>
      <c r="AD10" s="682"/>
      <c r="AE10" s="56"/>
    </row>
    <row r="11" spans="1:32">
      <c r="B11" s="821" t="s">
        <v>168</v>
      </c>
      <c r="C11" s="178">
        <f>SUM(C7:C10)</f>
        <v>5575195</v>
      </c>
      <c r="D11" s="178">
        <f t="shared" ref="D11:V11" si="0">SUM(D7:D10)</f>
        <v>6816388</v>
      </c>
      <c r="E11" s="178">
        <f t="shared" si="0"/>
        <v>6584802</v>
      </c>
      <c r="F11" s="178">
        <f t="shared" si="0"/>
        <v>7270302</v>
      </c>
      <c r="G11" s="178">
        <f t="shared" si="0"/>
        <v>6480845</v>
      </c>
      <c r="H11" s="178">
        <f t="shared" si="0"/>
        <v>8841652</v>
      </c>
      <c r="I11" s="178">
        <f t="shared" si="0"/>
        <v>8898324</v>
      </c>
      <c r="J11" s="178">
        <f t="shared" si="0"/>
        <v>9374300</v>
      </c>
      <c r="K11" s="178">
        <f t="shared" si="0"/>
        <v>9699749</v>
      </c>
      <c r="L11" s="178">
        <f t="shared" si="0"/>
        <v>10247970</v>
      </c>
      <c r="M11" s="178">
        <f t="shared" si="0"/>
        <v>11142817</v>
      </c>
      <c r="N11" s="178">
        <f t="shared" si="0"/>
        <v>11585732</v>
      </c>
      <c r="O11" s="178">
        <f t="shared" si="0"/>
        <v>11994166</v>
      </c>
      <c r="P11" s="178">
        <f t="shared" si="0"/>
        <v>13166651</v>
      </c>
      <c r="Q11" s="178">
        <f t="shared" si="0"/>
        <v>13665047</v>
      </c>
      <c r="R11" s="178">
        <f t="shared" si="0"/>
        <v>13973151</v>
      </c>
      <c r="S11" s="178">
        <f t="shared" si="0"/>
        <v>14461968</v>
      </c>
      <c r="T11" s="178">
        <f t="shared" si="0"/>
        <v>14857587</v>
      </c>
      <c r="U11" s="178">
        <f t="shared" si="0"/>
        <v>15648224</v>
      </c>
      <c r="V11" s="178">
        <f t="shared" si="0"/>
        <v>16348254</v>
      </c>
      <c r="W11" s="178">
        <f t="shared" ref="W11:X11" si="1">SUM(W7:W10)</f>
        <v>17528738.649999999</v>
      </c>
      <c r="X11" s="178">
        <f t="shared" si="1"/>
        <v>24965934.666249998</v>
      </c>
      <c r="Y11" s="178">
        <f t="shared" ref="Y11:Z11" si="2">SUM(Y7:Y10)</f>
        <v>26445322.507906251</v>
      </c>
      <c r="Z11" s="178">
        <f t="shared" si="2"/>
        <v>27177164.670603905</v>
      </c>
      <c r="AA11" s="178">
        <f t="shared" ref="AA11:AB11" si="3">SUM(AA7:AA10)</f>
        <v>27898562.962369002</v>
      </c>
      <c r="AB11" s="178">
        <f t="shared" si="3"/>
        <v>28637533.311428227</v>
      </c>
      <c r="AC11" s="190"/>
      <c r="AE11" s="56"/>
    </row>
    <row r="12" spans="1:32">
      <c r="B12" s="630" t="s">
        <v>169</v>
      </c>
      <c r="C12" s="178">
        <f>'Tax Levy'!C21</f>
        <v>-6317</v>
      </c>
      <c r="D12" s="178">
        <f>'Tax Levy'!D21</f>
        <v>-6659.0400000000373</v>
      </c>
      <c r="E12" s="178">
        <f>'Tax Levy'!E21</f>
        <v>-5330.8300000000745</v>
      </c>
      <c r="F12" s="178">
        <f>'Tax Levy'!F21</f>
        <v>-6778</v>
      </c>
      <c r="G12" s="178">
        <f>'Tax Levy'!G21</f>
        <v>859790</v>
      </c>
      <c r="H12" s="178">
        <f>'Tax Levy'!H21</f>
        <v>-6002</v>
      </c>
      <c r="I12" s="178">
        <f>'Tax Levy'!I21</f>
        <v>-3370</v>
      </c>
      <c r="J12" s="178">
        <f>'Tax Levy'!J21</f>
        <v>-450848</v>
      </c>
      <c r="K12" s="178">
        <f>'Tax Levy'!K21</f>
        <v>-189361</v>
      </c>
      <c r="L12" s="178">
        <f>'Tax Levy'!L21</f>
        <v>-312</v>
      </c>
      <c r="M12" s="178">
        <f>'Tax Levy'!M21</f>
        <v>-3402</v>
      </c>
      <c r="N12" s="178">
        <f>'Tax Levy'!N21</f>
        <v>-4474</v>
      </c>
      <c r="O12" s="178">
        <f>'Tax Levy'!O21</f>
        <v>-10072</v>
      </c>
      <c r="P12" s="178">
        <f>'Tax Levy'!P21</f>
        <v>-6423</v>
      </c>
      <c r="Q12" s="178">
        <f>'Tax Levy'!Q21</f>
        <v>-5011</v>
      </c>
      <c r="R12" s="178">
        <f>'Tax Levy'!R21</f>
        <v>-10453</v>
      </c>
      <c r="S12" s="178">
        <f>'Tax Levy'!S21</f>
        <v>-7868</v>
      </c>
      <c r="T12" s="178">
        <f>'Tax Levy'!T21</f>
        <v>21178</v>
      </c>
      <c r="U12" s="178">
        <f>'Tax Levy'!U21</f>
        <v>26951.859999999404</v>
      </c>
      <c r="V12" s="178">
        <f>'Tax Levy'!V21</f>
        <v>-3389.1199999991804</v>
      </c>
      <c r="W12" s="178">
        <f>'Tax Levy'!W21</f>
        <v>0</v>
      </c>
      <c r="X12" s="178">
        <f>'Tax Levy'!X21</f>
        <v>0</v>
      </c>
      <c r="Y12" s="178">
        <f>'Tax Levy'!Y21</f>
        <v>0</v>
      </c>
      <c r="Z12" s="178">
        <f>'Tax Levy'!AA21</f>
        <v>0</v>
      </c>
      <c r="AA12" s="178">
        <f>'Tax Levy'!AD21</f>
        <v>0</v>
      </c>
      <c r="AB12" s="178">
        <f>'Tax Levy'!AE21</f>
        <v>0</v>
      </c>
      <c r="AC12" s="190"/>
      <c r="AD12" s="682"/>
      <c r="AE12" s="53"/>
    </row>
    <row r="13" spans="1:32">
      <c r="B13" s="470" t="s">
        <v>170</v>
      </c>
      <c r="C13" s="471">
        <f>C11+C12</f>
        <v>5568878</v>
      </c>
      <c r="D13" s="471">
        <f t="shared" ref="D13:V13" si="4">D11+D12</f>
        <v>6809728.96</v>
      </c>
      <c r="E13" s="471">
        <f t="shared" si="4"/>
        <v>6579471.1699999999</v>
      </c>
      <c r="F13" s="471">
        <f t="shared" si="4"/>
        <v>7263524</v>
      </c>
      <c r="G13" s="471">
        <f t="shared" si="4"/>
        <v>7340635</v>
      </c>
      <c r="H13" s="471">
        <f t="shared" si="4"/>
        <v>8835650</v>
      </c>
      <c r="I13" s="471">
        <f t="shared" si="4"/>
        <v>8894954</v>
      </c>
      <c r="J13" s="471">
        <f t="shared" si="4"/>
        <v>8923452</v>
      </c>
      <c r="K13" s="471">
        <f t="shared" si="4"/>
        <v>9510388</v>
      </c>
      <c r="L13" s="471">
        <f t="shared" si="4"/>
        <v>10247658</v>
      </c>
      <c r="M13" s="471">
        <f t="shared" si="4"/>
        <v>11139415</v>
      </c>
      <c r="N13" s="471">
        <f t="shared" si="4"/>
        <v>11581258</v>
      </c>
      <c r="O13" s="471">
        <f t="shared" si="4"/>
        <v>11984094</v>
      </c>
      <c r="P13" s="471">
        <f t="shared" si="4"/>
        <v>13160228</v>
      </c>
      <c r="Q13" s="471">
        <f t="shared" si="4"/>
        <v>13660036</v>
      </c>
      <c r="R13" s="471">
        <f t="shared" si="4"/>
        <v>13962698</v>
      </c>
      <c r="S13" s="471">
        <f t="shared" si="4"/>
        <v>14454100</v>
      </c>
      <c r="T13" s="471">
        <f t="shared" si="4"/>
        <v>14878765</v>
      </c>
      <c r="U13" s="471">
        <f t="shared" si="4"/>
        <v>15675175.859999999</v>
      </c>
      <c r="V13" s="471">
        <f t="shared" si="4"/>
        <v>16344864.880000001</v>
      </c>
      <c r="W13" s="471">
        <f t="shared" ref="W13:X13" si="5">W11+W12</f>
        <v>17528738.649999999</v>
      </c>
      <c r="X13" s="471">
        <f t="shared" si="5"/>
        <v>24965934.666249998</v>
      </c>
      <c r="Y13" s="471">
        <f t="shared" ref="Y13:Z13" si="6">Y11+Y12</f>
        <v>26445322.507906251</v>
      </c>
      <c r="Z13" s="471">
        <f t="shared" si="6"/>
        <v>27177164.670603905</v>
      </c>
      <c r="AA13" s="471">
        <f t="shared" ref="AA13:AB13" si="7">AA11+AA12</f>
        <v>27898562.962369002</v>
      </c>
      <c r="AB13" s="471">
        <f t="shared" si="7"/>
        <v>28637533.311428227</v>
      </c>
      <c r="AC13" s="312"/>
      <c r="AD13" s="682"/>
      <c r="AE13" s="53"/>
      <c r="AF13" s="49" t="s">
        <v>171</v>
      </c>
    </row>
    <row r="14" spans="1:32">
      <c r="B14" s="4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82"/>
      <c r="AE14" s="53"/>
    </row>
    <row r="15" spans="1:32">
      <c r="B15" s="2" t="s">
        <v>172</v>
      </c>
      <c r="C15" s="310"/>
      <c r="D15" s="310"/>
      <c r="E15" s="310"/>
      <c r="F15" s="311"/>
      <c r="G15" s="311"/>
      <c r="H15" s="311"/>
      <c r="I15" s="311"/>
      <c r="J15" s="311"/>
      <c r="K15" s="311"/>
      <c r="L15" s="311"/>
      <c r="M15" s="311"/>
      <c r="N15" s="31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729"/>
      <c r="AD15" s="8"/>
    </row>
    <row r="16" spans="1:32">
      <c r="B16" s="630" t="s">
        <v>173</v>
      </c>
      <c r="C16" s="178">
        <f>'State Aid'!C7+'State Aid'!C8+'State Aid'!C9+'State Aid'!C10</f>
        <v>0</v>
      </c>
      <c r="D16" s="178">
        <f>'State Aid'!D7+'State Aid'!D8+'State Aid'!D9+'State Aid'!D10</f>
        <v>0</v>
      </c>
      <c r="E16" s="178">
        <f>'State Aid'!E7+'State Aid'!E8+'State Aid'!E9+'State Aid'!E10</f>
        <v>0</v>
      </c>
      <c r="F16" s="178">
        <f>'State Aid'!F7+'State Aid'!F8+'State Aid'!F9+'State Aid'!F10</f>
        <v>0</v>
      </c>
      <c r="G16" s="178">
        <f>'State Aid'!G7+'State Aid'!G8+'State Aid'!G9+'State Aid'!G10</f>
        <v>5426422</v>
      </c>
      <c r="H16" s="178">
        <f>'State Aid'!H7+'State Aid'!H8+'State Aid'!H9+'State Aid'!H10</f>
        <v>5109411</v>
      </c>
      <c r="I16" s="178">
        <f>'State Aid'!I7+'State Aid'!I8+'State Aid'!I9+'State Aid'!I10</f>
        <v>3805913</v>
      </c>
      <c r="J16" s="178">
        <f>'State Aid'!J7+'State Aid'!J8+'State Aid'!J9+'State Aid'!J10</f>
        <v>3837513</v>
      </c>
      <c r="K16" s="178">
        <f>'State Aid'!K7+'State Aid'!K8+'State Aid'!K9+'State Aid'!K10</f>
        <v>3856463</v>
      </c>
      <c r="L16" s="178">
        <f>'State Aid'!L7+'State Aid'!L8+'State Aid'!L9+'State Aid'!L10</f>
        <v>3875906</v>
      </c>
      <c r="M16" s="178">
        <f>'State Aid'!M7+'State Aid'!M8+'State Aid'!M9+'State Aid'!M10</f>
        <v>3904827</v>
      </c>
      <c r="N16" s="178">
        <f>'State Aid'!N7+'State Aid'!N8+'State Aid'!N9+'State Aid'!N10</f>
        <v>3934448</v>
      </c>
      <c r="O16" s="178">
        <f>'State Aid'!O7+'State Aid'!O8+'State Aid'!O9+'State Aid'!O10</f>
        <v>3957968</v>
      </c>
      <c r="P16" s="178">
        <f>'State Aid'!P7+'State Aid'!P8+'State Aid'!P9+'State Aid'!P10</f>
        <v>3981188</v>
      </c>
      <c r="Q16" s="178">
        <f>'State Aid'!Q7+'State Aid'!Q8+'State Aid'!Q9+'State Aid'!Q10</f>
        <v>4003448</v>
      </c>
      <c r="R16" s="178">
        <f>'State Aid'!R7+'State Aid'!R8+'State Aid'!R9+'State Aid'!R10</f>
        <v>4029570</v>
      </c>
      <c r="S16" s="178">
        <f>'State Aid'!S7+'State Aid'!S8+'State Aid'!S9+'State Aid'!S10</f>
        <v>4028211</v>
      </c>
      <c r="T16" s="178">
        <f>'State Aid'!T7+'State Aid'!T8+'State Aid'!T9+'State Aid'!T10</f>
        <v>4085823</v>
      </c>
      <c r="U16" s="178">
        <f>'State Aid'!U7+'State Aid'!U8+'State Aid'!U9+'State Aid'!U10</f>
        <v>4151920</v>
      </c>
      <c r="V16" s="178">
        <f>'State Aid'!V7+'State Aid'!V8+'State Aid'!V9+'State Aid'!V10</f>
        <v>4222848</v>
      </c>
      <c r="W16" s="178">
        <f>'State Aid'!W7+'State Aid'!W8+'State Aid'!W9+'State Aid'!W10</f>
        <v>4318848</v>
      </c>
      <c r="X16" s="178">
        <f>'State Aid'!X7+'State Aid'!X8+'State Aid'!X9+'State Aid'!X10</f>
        <v>4414688</v>
      </c>
      <c r="Y16" s="178">
        <f>'State Aid'!Y7+'State Aid'!Y8+'State Aid'!Y9+'State Aid'!Y10</f>
        <v>4458834.88</v>
      </c>
      <c r="Z16" s="178">
        <f>'State Aid'!Z7+'State Aid'!Z8+'State Aid'!Z9+'State Aid'!Z10</f>
        <v>4503423.2287999997</v>
      </c>
      <c r="AA16" s="178">
        <f>'State Aid'!AA7+'State Aid'!AA8+'State Aid'!AA9+'State Aid'!AA10</f>
        <v>4548457.4610879999</v>
      </c>
      <c r="AB16" s="178">
        <f>'State Aid'!AB7+'State Aid'!AB8+'State Aid'!AB9+'State Aid'!AB10</f>
        <v>4593942.0356988795</v>
      </c>
      <c r="AC16" s="190"/>
      <c r="AD16" s="885" t="s">
        <v>174</v>
      </c>
      <c r="AE16" s="53"/>
      <c r="AF16" s="49" t="s">
        <v>175</v>
      </c>
    </row>
    <row r="17" spans="1:32">
      <c r="B17" s="630" t="s">
        <v>176</v>
      </c>
      <c r="C17" s="189">
        <f>'State Aid'!C13+'State Aid'!C14+'State Aid'!C15+'State Aid'!C16+'State Aid'!C17+'State Aid'!C18+'State Aid'!C19+'State Aid'!C20</f>
        <v>0</v>
      </c>
      <c r="D17" s="189">
        <f>'State Aid'!D13+'State Aid'!D14+'State Aid'!D15+'State Aid'!D16+'State Aid'!D17+'State Aid'!D18+'State Aid'!D19+'State Aid'!D20</f>
        <v>0</v>
      </c>
      <c r="E17" s="189">
        <f>'State Aid'!E13+'State Aid'!E14+'State Aid'!E15+'State Aid'!E16+'State Aid'!E17+'State Aid'!E18+'State Aid'!E19+'State Aid'!E20</f>
        <v>0</v>
      </c>
      <c r="F17" s="189">
        <f>'State Aid'!F13+'State Aid'!F14+'State Aid'!F15+'State Aid'!F16+'State Aid'!F17+'State Aid'!F18+'State Aid'!F19+'State Aid'!F20</f>
        <v>0</v>
      </c>
      <c r="G17" s="189">
        <f>'State Aid'!G13+'State Aid'!G14+'State Aid'!G15+'State Aid'!G16+'State Aid'!G17+'State Aid'!G18+'State Aid'!G19+'State Aid'!G20</f>
        <v>591546</v>
      </c>
      <c r="H17" s="189">
        <f>'State Aid'!H13+'State Aid'!H14+'State Aid'!H15+'State Aid'!H16+'State Aid'!H17+'State Aid'!H18+'State Aid'!H19+'State Aid'!H20</f>
        <v>590078</v>
      </c>
      <c r="I17" s="189">
        <f>'State Aid'!I13+'State Aid'!I14+'State Aid'!I15+'State Aid'!I16+'State Aid'!I17+'State Aid'!I18+'State Aid'!I19+'State Aid'!I20</f>
        <v>564210</v>
      </c>
      <c r="J17" s="189">
        <f>'State Aid'!J13+'State Aid'!J14+'State Aid'!J15+'State Aid'!J16+'State Aid'!J17+'State Aid'!J18+'State Aid'!J19+'State Aid'!J20</f>
        <v>567226</v>
      </c>
      <c r="K17" s="189">
        <f>'State Aid'!K13+'State Aid'!K14+'State Aid'!K15+'State Aid'!K16+'State Aid'!K17+'State Aid'!K18+'State Aid'!K19+'State Aid'!K20</f>
        <v>609297</v>
      </c>
      <c r="L17" s="189">
        <f>'State Aid'!L13+'State Aid'!L14+'State Aid'!L15+'State Aid'!L16+'State Aid'!L17+'State Aid'!L18+'State Aid'!L19+'State Aid'!L20</f>
        <v>624138</v>
      </c>
      <c r="M17" s="189">
        <f>'State Aid'!M13+'State Aid'!M14+'State Aid'!M15+'State Aid'!M16+'State Aid'!M17+'State Aid'!M18+'State Aid'!M19+'State Aid'!M20</f>
        <v>639416</v>
      </c>
      <c r="N17" s="189">
        <f>'State Aid'!N13+'State Aid'!N14+'State Aid'!N15+'State Aid'!N16+'State Aid'!N17+'State Aid'!N18+'State Aid'!N19+'State Aid'!N20</f>
        <v>674428</v>
      </c>
      <c r="O17" s="189">
        <f>'State Aid'!O13+'State Aid'!O14+'State Aid'!O15+'State Aid'!O16+'State Aid'!O17+'State Aid'!O18+'State Aid'!O19+'State Aid'!O20</f>
        <v>698380</v>
      </c>
      <c r="P17" s="189">
        <f>'State Aid'!P13+'State Aid'!P14+'State Aid'!P15+'State Aid'!P16+'State Aid'!P17+'State Aid'!P18+'State Aid'!P19+'State Aid'!P20</f>
        <v>727063</v>
      </c>
      <c r="Q17" s="189">
        <f>'State Aid'!Q13+'State Aid'!Q14+'State Aid'!Q15+'State Aid'!Q16+'State Aid'!Q17+'State Aid'!Q18+'State Aid'!Q19+'State Aid'!Q20</f>
        <v>745198</v>
      </c>
      <c r="R17" s="189">
        <f>'State Aid'!R13+'State Aid'!R14+'State Aid'!R15+'State Aid'!R16+'State Aid'!R17+'State Aid'!R18+'State Aid'!R19+'State Aid'!R20</f>
        <v>736160</v>
      </c>
      <c r="S17" s="189">
        <f>'State Aid'!S13+'State Aid'!S14+'State Aid'!S15+'State Aid'!S16+'State Aid'!S17+'State Aid'!S18+'State Aid'!S19+'State Aid'!S20</f>
        <v>760169</v>
      </c>
      <c r="T17" s="189">
        <f>'State Aid'!T13+'State Aid'!T14+'State Aid'!T15+'State Aid'!T16+'State Aid'!T17+'State Aid'!T18+'State Aid'!T19+'State Aid'!T20</f>
        <v>818167</v>
      </c>
      <c r="U17" s="189">
        <f>'State Aid'!U13+'State Aid'!U14+'State Aid'!U15+'State Aid'!U16+'State Aid'!U17+'State Aid'!U18+'State Aid'!U19+'State Aid'!U20</f>
        <v>843587</v>
      </c>
      <c r="V17" s="189">
        <f>'State Aid'!V13+'State Aid'!V14+'State Aid'!V15+'State Aid'!V16+'State Aid'!V17+'State Aid'!V18+'State Aid'!V19+'State Aid'!V20</f>
        <v>862500</v>
      </c>
      <c r="W17" s="189">
        <f>'State Aid'!W13+'State Aid'!W14+'State Aid'!W15+'State Aid'!W16+'State Aid'!W17+'State Aid'!W18+'State Aid'!W19+'State Aid'!W20</f>
        <v>877394</v>
      </c>
      <c r="X17" s="189">
        <f>'State Aid'!X13+'State Aid'!X14+'State Aid'!X15+'State Aid'!X16+'State Aid'!X17+'State Aid'!X18+'State Aid'!X19+'State Aid'!X20</f>
        <v>887292</v>
      </c>
      <c r="Y17" s="189">
        <f>'State Aid'!Y13+'State Aid'!Y14+'State Aid'!Y15+'State Aid'!Y16+'State Aid'!Y17+'State Aid'!Y18+'State Aid'!Y19+'State Aid'!Y20</f>
        <v>902707.27999999991</v>
      </c>
      <c r="Z17" s="189">
        <f>'State Aid'!Z13+'State Aid'!Z14+'State Aid'!Z15+'State Aid'!Z16+'State Aid'!Z17+'State Aid'!Z18+'State Aid'!Z19+'State Aid'!Z20</f>
        <v>918547.61603999999</v>
      </c>
      <c r="AA17" s="189">
        <f>'State Aid'!AA13+'State Aid'!AA14+'State Aid'!AA15+'State Aid'!AA16+'State Aid'!AA17+'State Aid'!AA18+'State Aid'!AA19+'State Aid'!AA20</f>
        <v>934828.84772251989</v>
      </c>
      <c r="AB17" s="189">
        <f>'State Aid'!AB13+'State Aid'!AB14+'State Aid'!AB15+'State Aid'!AB16+'State Aid'!AB17+'State Aid'!AB18+'State Aid'!AB19+'State Aid'!AB20</f>
        <v>951567.56382849254</v>
      </c>
      <c r="AC17" s="725"/>
      <c r="AD17" s="683"/>
      <c r="AE17" s="53"/>
    </row>
    <row r="18" spans="1:32">
      <c r="B18" s="631" t="s">
        <v>177</v>
      </c>
      <c r="C18" s="189">
        <f>+'State Aid'!C11+'State Aid'!C12+'State Aid'!C21</f>
        <v>0</v>
      </c>
      <c r="D18" s="189">
        <f>+'State Aid'!D11+'State Aid'!D12+'State Aid'!D21</f>
        <v>0</v>
      </c>
      <c r="E18" s="189">
        <f>+'State Aid'!E11+'State Aid'!E12+'State Aid'!E21</f>
        <v>0</v>
      </c>
      <c r="F18" s="189">
        <f>+'State Aid'!F11+'State Aid'!F12+'State Aid'!F21</f>
        <v>0</v>
      </c>
      <c r="G18" s="189">
        <f>+'State Aid'!G11+'State Aid'!G12+'State Aid'!G21</f>
        <v>107562</v>
      </c>
      <c r="H18" s="189">
        <f>+'State Aid'!H11+'State Aid'!H12+'State Aid'!H21</f>
        <v>121499</v>
      </c>
      <c r="I18" s="189">
        <f>+'State Aid'!I11+'State Aid'!I12+'State Aid'!I21</f>
        <v>123536</v>
      </c>
      <c r="J18" s="189">
        <f>+'State Aid'!J11+'State Aid'!J12+'State Aid'!J21</f>
        <v>204500</v>
      </c>
      <c r="K18" s="189">
        <f>+'State Aid'!K11+'State Aid'!K12+'State Aid'!K21</f>
        <v>273794</v>
      </c>
      <c r="L18" s="189">
        <f>+'State Aid'!L11+'State Aid'!L12+'State Aid'!L21</f>
        <v>347100</v>
      </c>
      <c r="M18" s="189">
        <f>+'State Aid'!M11+'State Aid'!M12+'State Aid'!M21</f>
        <v>404350</v>
      </c>
      <c r="N18" s="189">
        <f>+'State Aid'!N11+'State Aid'!N12+'State Aid'!N21</f>
        <v>528389</v>
      </c>
      <c r="O18" s="189">
        <f>+'State Aid'!O11+'State Aid'!O12+'State Aid'!O21</f>
        <v>537675</v>
      </c>
      <c r="P18" s="189">
        <f>+'State Aid'!P11+'State Aid'!P12+'State Aid'!P21</f>
        <v>511037</v>
      </c>
      <c r="Q18" s="189">
        <f>+'State Aid'!Q11+'State Aid'!Q12+'State Aid'!Q21</f>
        <v>530693</v>
      </c>
      <c r="R18" s="189">
        <f>+'State Aid'!R11+'State Aid'!R12+'State Aid'!R21</f>
        <v>658487</v>
      </c>
      <c r="S18" s="189">
        <f>+'State Aid'!S11+'State Aid'!S12+'State Aid'!S21</f>
        <v>692052</v>
      </c>
      <c r="T18" s="189">
        <f>+'State Aid'!T11+'State Aid'!T12+'State Aid'!T21</f>
        <v>674588</v>
      </c>
      <c r="U18" s="189">
        <f>+'State Aid'!U11+'State Aid'!U12+'State Aid'!U21</f>
        <v>761434</v>
      </c>
      <c r="V18" s="189">
        <f>+'State Aid'!V11+'State Aid'!V12+'State Aid'!V21</f>
        <v>922857</v>
      </c>
      <c r="W18" s="189">
        <f>+'State Aid'!W11+'State Aid'!W12+'State Aid'!W21</f>
        <v>992243</v>
      </c>
      <c r="X18" s="189">
        <f>+'State Aid'!X11+'State Aid'!X12+'State Aid'!X21</f>
        <v>1172178</v>
      </c>
      <c r="Y18" s="189">
        <f>+'State Aid'!Y11+'State Aid'!Y12+'State Aid'!Y21</f>
        <v>1265762.6600000001</v>
      </c>
      <c r="Z18" s="189">
        <f>+'State Aid'!Z11+'State Aid'!Z12+'State Aid'!Z21</f>
        <v>1366820.8222000003</v>
      </c>
      <c r="AA18" s="189">
        <f>+'State Aid'!AA11+'State Aid'!AA12+'State Aid'!AA21</f>
        <v>1475949.4378340004</v>
      </c>
      <c r="AB18" s="189">
        <f>+'State Aid'!AB11+'State Aid'!AB12+'State Aid'!AB21</f>
        <v>1593793.1492087806</v>
      </c>
      <c r="AC18" s="725"/>
      <c r="AD18" s="683"/>
    </row>
    <row r="19" spans="1:32">
      <c r="B19" s="667" t="s">
        <v>178</v>
      </c>
      <c r="C19" s="472">
        <f t="shared" ref="C19:F19" si="8">SUM(C16:C18)</f>
        <v>0</v>
      </c>
      <c r="D19" s="472">
        <f t="shared" si="8"/>
        <v>0</v>
      </c>
      <c r="E19" s="472">
        <f t="shared" si="8"/>
        <v>0</v>
      </c>
      <c r="F19" s="472">
        <f t="shared" si="8"/>
        <v>0</v>
      </c>
      <c r="G19" s="472">
        <f t="shared" ref="G19:U19" si="9">SUM(G16:G18)</f>
        <v>6125530</v>
      </c>
      <c r="H19" s="472">
        <f t="shared" si="9"/>
        <v>5820988</v>
      </c>
      <c r="I19" s="472">
        <f t="shared" si="9"/>
        <v>4493659</v>
      </c>
      <c r="J19" s="472">
        <f t="shared" si="9"/>
        <v>4609239</v>
      </c>
      <c r="K19" s="472">
        <f t="shared" si="9"/>
        <v>4739554</v>
      </c>
      <c r="L19" s="472">
        <f t="shared" si="9"/>
        <v>4847144</v>
      </c>
      <c r="M19" s="472">
        <f t="shared" si="9"/>
        <v>4948593</v>
      </c>
      <c r="N19" s="472">
        <f t="shared" si="9"/>
        <v>5137265</v>
      </c>
      <c r="O19" s="472">
        <f t="shared" si="9"/>
        <v>5194023</v>
      </c>
      <c r="P19" s="472">
        <f t="shared" si="9"/>
        <v>5219288</v>
      </c>
      <c r="Q19" s="472">
        <f t="shared" si="9"/>
        <v>5279339</v>
      </c>
      <c r="R19" s="472">
        <f t="shared" si="9"/>
        <v>5424217</v>
      </c>
      <c r="S19" s="472">
        <f t="shared" si="9"/>
        <v>5480432</v>
      </c>
      <c r="T19" s="472">
        <f t="shared" ref="T19" si="10">SUM(T16:T18)</f>
        <v>5578578</v>
      </c>
      <c r="U19" s="472">
        <f t="shared" si="9"/>
        <v>5756941</v>
      </c>
      <c r="V19" s="472">
        <f t="shared" ref="V19:W19" si="11">SUM(V16:V18)</f>
        <v>6008205</v>
      </c>
      <c r="W19" s="472">
        <f t="shared" si="11"/>
        <v>6188485</v>
      </c>
      <c r="X19" s="472">
        <f t="shared" ref="X19:Y19" si="12">SUM(X16:X18)</f>
        <v>6474158</v>
      </c>
      <c r="Y19" s="472">
        <f t="shared" si="12"/>
        <v>6627304.8200000003</v>
      </c>
      <c r="Z19" s="472">
        <f t="shared" ref="Z19:AB19" si="13">SUM(Z16:Z18)</f>
        <v>6788791.6670399997</v>
      </c>
      <c r="AA19" s="472">
        <f t="shared" si="13"/>
        <v>6959235.7466445202</v>
      </c>
      <c r="AB19" s="472">
        <f t="shared" si="13"/>
        <v>7139302.7487361524</v>
      </c>
      <c r="AC19" s="613"/>
      <c r="AF19" s="49" t="s">
        <v>171</v>
      </c>
    </row>
    <row r="20" spans="1:32">
      <c r="B20" s="60"/>
      <c r="C20" s="312"/>
      <c r="D20" s="312"/>
      <c r="E20" s="312"/>
      <c r="F20" s="313"/>
      <c r="G20" s="313"/>
      <c r="H20" s="313"/>
      <c r="I20" s="313"/>
      <c r="J20" s="313"/>
      <c r="K20" s="313"/>
      <c r="L20" s="314"/>
      <c r="M20" s="312"/>
      <c r="N20" s="312"/>
      <c r="O20" s="312"/>
      <c r="P20" s="312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730"/>
      <c r="AD20" s="117"/>
    </row>
    <row r="21" spans="1:32">
      <c r="A21" s="377"/>
      <c r="B21" s="558" t="s">
        <v>113</v>
      </c>
      <c r="C21" s="557">
        <f>+'State Aid'!C26</f>
        <v>0</v>
      </c>
      <c r="D21" s="557">
        <f>+'State Aid'!D26</f>
        <v>0</v>
      </c>
      <c r="E21" s="557">
        <f>+'State Aid'!E26</f>
        <v>0</v>
      </c>
      <c r="F21" s="557">
        <f>+'State Aid'!F26</f>
        <v>0</v>
      </c>
      <c r="G21" s="557">
        <f>+'State Aid'!G26</f>
        <v>1039158</v>
      </c>
      <c r="H21" s="557">
        <f>+'State Aid'!H26</f>
        <v>1039158</v>
      </c>
      <c r="I21" s="557">
        <f>+'State Aid'!I26</f>
        <v>891336</v>
      </c>
      <c r="J21" s="557">
        <f>+'State Aid'!J26</f>
        <v>891336</v>
      </c>
      <c r="K21" s="557">
        <f>+'State Aid'!K26</f>
        <v>891336</v>
      </c>
      <c r="L21" s="557">
        <f>+'State Aid'!L26</f>
        <v>891336</v>
      </c>
      <c r="M21" s="557">
        <f>+'State Aid'!M26</f>
        <v>891336</v>
      </c>
      <c r="N21" s="557">
        <f>+'State Aid'!N26</f>
        <v>891336</v>
      </c>
      <c r="O21" s="557">
        <f>+'State Aid'!O26</f>
        <v>891336</v>
      </c>
      <c r="P21" s="557">
        <f>+'State Aid'!P26</f>
        <v>891336</v>
      </c>
      <c r="Q21" s="557">
        <f>+'State Aid'!Q26</f>
        <v>891336</v>
      </c>
      <c r="R21" s="557">
        <f>+'State Aid'!R26</f>
        <v>0</v>
      </c>
      <c r="S21" s="557">
        <f>+'State Aid'!S26</f>
        <v>0</v>
      </c>
      <c r="T21" s="557">
        <f>+'State Aid'!T26</f>
        <v>0</v>
      </c>
      <c r="U21" s="557">
        <f>+'State Aid'!U26</f>
        <v>0</v>
      </c>
      <c r="V21" s="18"/>
      <c r="W21" s="18"/>
      <c r="X21" s="18"/>
      <c r="Y21" s="18"/>
      <c r="Z21" s="18"/>
      <c r="AA21" s="18"/>
      <c r="AB21" s="18"/>
      <c r="AC21" s="731"/>
      <c r="AD21" s="117"/>
      <c r="AF21" s="49" t="s">
        <v>179</v>
      </c>
    </row>
    <row r="22" spans="1:32">
      <c r="B22" s="60"/>
      <c r="C22" s="312"/>
      <c r="D22" s="312"/>
      <c r="E22" s="312"/>
      <c r="F22" s="313"/>
      <c r="G22" s="313"/>
      <c r="H22" s="313"/>
      <c r="I22" s="313"/>
      <c r="J22" s="313"/>
      <c r="K22" s="313"/>
      <c r="L22" s="314"/>
      <c r="M22" s="312"/>
      <c r="N22" s="312"/>
      <c r="O22" s="312"/>
      <c r="P22" s="312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730"/>
      <c r="AD22" s="117"/>
    </row>
    <row r="23" spans="1:32">
      <c r="B23" s="2" t="s">
        <v>180</v>
      </c>
      <c r="C23" s="315"/>
      <c r="D23" s="315"/>
      <c r="E23" s="315"/>
      <c r="F23" s="316"/>
      <c r="G23" s="316"/>
      <c r="H23" s="316"/>
      <c r="I23" s="316"/>
      <c r="J23" s="316"/>
      <c r="K23" s="316"/>
      <c r="L23" s="316"/>
      <c r="M23" s="316"/>
      <c r="N23" s="317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729"/>
      <c r="AD23" s="682"/>
    </row>
    <row r="24" spans="1:32">
      <c r="B24" s="631" t="s">
        <v>181</v>
      </c>
      <c r="C24" s="178">
        <f>'Local Receipts'!C35</f>
        <v>974000</v>
      </c>
      <c r="D24" s="178">
        <f>'Local Receipts'!D35</f>
        <v>0</v>
      </c>
      <c r="E24" s="178">
        <f>'Local Receipts'!E35</f>
        <v>0</v>
      </c>
      <c r="F24" s="178">
        <f>'Local Receipts'!F35</f>
        <v>0</v>
      </c>
      <c r="G24" s="178">
        <f>'Local Receipts'!G35</f>
        <v>0</v>
      </c>
      <c r="H24" s="178">
        <f>'Local Receipts'!H35</f>
        <v>0</v>
      </c>
      <c r="I24" s="178">
        <f>'Local Receipts'!I35</f>
        <v>0</v>
      </c>
      <c r="J24" s="178">
        <f>'Local Receipts'!J35</f>
        <v>0</v>
      </c>
      <c r="K24" s="178">
        <f>'Local Receipts'!K35</f>
        <v>0</v>
      </c>
      <c r="L24" s="178">
        <f>'Local Receipts'!L35</f>
        <v>0</v>
      </c>
      <c r="M24" s="178">
        <f>'Local Receipts'!M35</f>
        <v>0</v>
      </c>
      <c r="N24" s="178">
        <f>'Local Receipts'!N35</f>
        <v>1047594</v>
      </c>
      <c r="O24" s="178">
        <f>'Local Receipts'!O35</f>
        <v>1049436</v>
      </c>
      <c r="P24" s="178">
        <f>'Local Receipts'!P35</f>
        <v>1066762</v>
      </c>
      <c r="Q24" s="178">
        <f>'Local Receipts'!Q35</f>
        <v>1173668</v>
      </c>
      <c r="R24" s="178">
        <f>'Local Receipts'!R35</f>
        <v>1163871</v>
      </c>
      <c r="S24" s="178">
        <f>'Local Receipts'!S35</f>
        <v>1228269</v>
      </c>
      <c r="T24" s="178">
        <f>'Local Receipts'!T35</f>
        <v>1342720</v>
      </c>
      <c r="U24" s="178">
        <f>'Local Receipts'!U35</f>
        <v>1373125</v>
      </c>
      <c r="V24" s="178">
        <f>'Local Receipts'!V35</f>
        <v>1415282</v>
      </c>
      <c r="W24" s="178">
        <f>'Local Receipts'!W35</f>
        <v>1600867</v>
      </c>
      <c r="X24" s="178">
        <f>'Local Receipts'!X35</f>
        <v>1862232.6</v>
      </c>
      <c r="Y24" s="178">
        <f>'Local Receipts'!Y35</f>
        <v>1899478</v>
      </c>
      <c r="Z24" s="178">
        <f>'Local Receipts'!Z35</f>
        <v>1937468</v>
      </c>
      <c r="AA24" s="178">
        <f>'Local Receipts'!AA35</f>
        <v>1976216</v>
      </c>
      <c r="AB24" s="178">
        <f>'Local Receipts'!AB35</f>
        <v>2015740</v>
      </c>
      <c r="AC24" s="190"/>
      <c r="AD24" s="684" t="s">
        <v>182</v>
      </c>
    </row>
    <row r="25" spans="1:32">
      <c r="B25" s="631" t="s">
        <v>14</v>
      </c>
      <c r="C25" s="178">
        <f>+'Offset Receipts'!C17</f>
        <v>0</v>
      </c>
      <c r="D25" s="178">
        <f>+'Offset Receipts'!D17</f>
        <v>0</v>
      </c>
      <c r="E25" s="178">
        <f>+'Offset Receipts'!E17</f>
        <v>0</v>
      </c>
      <c r="F25" s="178">
        <f>+'Offset Receipts'!F17</f>
        <v>0</v>
      </c>
      <c r="G25" s="178">
        <f>+'Offset Receipts'!G17</f>
        <v>0</v>
      </c>
      <c r="H25" s="178">
        <f>+'Offset Receipts'!H17</f>
        <v>0</v>
      </c>
      <c r="I25" s="178">
        <f>+'Offset Receipts'!I17</f>
        <v>0</v>
      </c>
      <c r="J25" s="178">
        <f>+'Offset Receipts'!J17</f>
        <v>0</v>
      </c>
      <c r="K25" s="178">
        <f>+'Offset Receipts'!K17</f>
        <v>0</v>
      </c>
      <c r="L25" s="178">
        <f>+'Offset Receipts'!L17</f>
        <v>0</v>
      </c>
      <c r="M25" s="178">
        <f>+'Offset Receipts'!M17</f>
        <v>0</v>
      </c>
      <c r="N25" s="178">
        <f>+'Offset Receipts'!N17</f>
        <v>0</v>
      </c>
      <c r="O25" s="178">
        <f>+'Offset Receipts'!O17</f>
        <v>0</v>
      </c>
      <c r="P25" s="178">
        <f>+'Offset Receipts'!P17</f>
        <v>0</v>
      </c>
      <c r="Q25" s="178">
        <f>+'Offset Receipts'!Q17</f>
        <v>0</v>
      </c>
      <c r="R25" s="178">
        <f>+'Offset Receipts'!R17</f>
        <v>0</v>
      </c>
      <c r="S25" s="178">
        <f>+'Offset Receipts'!S17</f>
        <v>0</v>
      </c>
      <c r="T25" s="178">
        <f>+'Offset Receipts'!T17</f>
        <v>0</v>
      </c>
      <c r="U25" s="178">
        <f>+'Offset Receipts'!U17</f>
        <v>0</v>
      </c>
      <c r="V25" s="178">
        <f>+'Offset Receipts'!V17</f>
        <v>0</v>
      </c>
      <c r="W25" s="178">
        <f>+'Offset Receipts'!W17</f>
        <v>0</v>
      </c>
      <c r="X25" s="178">
        <f>+'Offset Receipts'!X17</f>
        <v>0</v>
      </c>
      <c r="Y25" s="178">
        <f>+'Offset Receipts'!Y17</f>
        <v>0</v>
      </c>
      <c r="Z25" s="178">
        <f>+'Offset Receipts'!Z17</f>
        <v>0</v>
      </c>
      <c r="AA25" s="178">
        <f>+'Offset Receipts'!AA17</f>
        <v>0</v>
      </c>
      <c r="AB25" s="178" t="str">
        <f>+'Offset Receipts'!AB17</f>
        <v/>
      </c>
      <c r="AC25" s="190"/>
      <c r="AD25" s="685" t="s">
        <v>183</v>
      </c>
    </row>
    <row r="26" spans="1:32">
      <c r="B26" s="473" t="s">
        <v>184</v>
      </c>
      <c r="C26" s="474">
        <f>SUM(C24:C25)</f>
        <v>974000</v>
      </c>
      <c r="D26" s="474">
        <f t="shared" ref="D26:V26" si="14">SUM(D24:D25)</f>
        <v>0</v>
      </c>
      <c r="E26" s="474">
        <f t="shared" si="14"/>
        <v>0</v>
      </c>
      <c r="F26" s="474">
        <f t="shared" si="14"/>
        <v>0</v>
      </c>
      <c r="G26" s="474">
        <f t="shared" si="14"/>
        <v>0</v>
      </c>
      <c r="H26" s="474">
        <f t="shared" si="14"/>
        <v>0</v>
      </c>
      <c r="I26" s="474">
        <f t="shared" si="14"/>
        <v>0</v>
      </c>
      <c r="J26" s="474">
        <f t="shared" si="14"/>
        <v>0</v>
      </c>
      <c r="K26" s="474">
        <f t="shared" si="14"/>
        <v>0</v>
      </c>
      <c r="L26" s="474">
        <f t="shared" si="14"/>
        <v>0</v>
      </c>
      <c r="M26" s="474">
        <f t="shared" si="14"/>
        <v>0</v>
      </c>
      <c r="N26" s="474">
        <f t="shared" si="14"/>
        <v>1047594</v>
      </c>
      <c r="O26" s="474">
        <f t="shared" si="14"/>
        <v>1049436</v>
      </c>
      <c r="P26" s="474">
        <f t="shared" si="14"/>
        <v>1066762</v>
      </c>
      <c r="Q26" s="474">
        <f t="shared" si="14"/>
        <v>1173668</v>
      </c>
      <c r="R26" s="474">
        <f t="shared" si="14"/>
        <v>1163871</v>
      </c>
      <c r="S26" s="474">
        <f t="shared" si="14"/>
        <v>1228269</v>
      </c>
      <c r="T26" s="474">
        <f t="shared" si="14"/>
        <v>1342720</v>
      </c>
      <c r="U26" s="474">
        <f t="shared" si="14"/>
        <v>1373125</v>
      </c>
      <c r="V26" s="474">
        <f t="shared" si="14"/>
        <v>1415282</v>
      </c>
      <c r="W26" s="474">
        <f t="shared" ref="W26:X26" si="15">SUM(W24:W25)</f>
        <v>1600867</v>
      </c>
      <c r="X26" s="474">
        <f t="shared" si="15"/>
        <v>1862232.6</v>
      </c>
      <c r="Y26" s="474">
        <f t="shared" ref="Y26:Z26" si="16">SUM(Y24:Y25)</f>
        <v>1899478</v>
      </c>
      <c r="Z26" s="474">
        <f t="shared" si="16"/>
        <v>1937468</v>
      </c>
      <c r="AA26" s="474">
        <f t="shared" ref="AA26:AB26" si="17">SUM(AA24:AA25)</f>
        <v>1976216</v>
      </c>
      <c r="AB26" s="474">
        <f t="shared" si="17"/>
        <v>2015740</v>
      </c>
      <c r="AC26" s="613"/>
      <c r="AF26" s="49" t="s">
        <v>185</v>
      </c>
    </row>
    <row r="27" spans="1:32">
      <c r="B27" s="63"/>
      <c r="C27" s="20"/>
      <c r="D27" s="20"/>
      <c r="E27" s="20"/>
      <c r="F27" s="208"/>
      <c r="G27" s="208"/>
      <c r="H27" s="208"/>
      <c r="I27" s="208"/>
      <c r="J27" s="208"/>
      <c r="K27" s="208"/>
      <c r="L27" s="208"/>
      <c r="M27" s="208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729"/>
    </row>
    <row r="28" spans="1:32">
      <c r="B28" s="2" t="s">
        <v>186</v>
      </c>
      <c r="C28" s="20"/>
      <c r="D28" s="20"/>
      <c r="E28" s="20"/>
      <c r="F28" s="208"/>
      <c r="G28" s="208"/>
      <c r="H28" s="208"/>
      <c r="I28" s="208"/>
      <c r="J28" s="208"/>
      <c r="K28" s="208"/>
      <c r="L28" s="208"/>
      <c r="M28" s="208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729"/>
    </row>
    <row r="29" spans="1:32">
      <c r="B29" s="631" t="s">
        <v>187</v>
      </c>
      <c r="C29" s="169">
        <f>'Available Funds'!C25</f>
        <v>0</v>
      </c>
      <c r="D29" s="169">
        <f>'Available Funds'!D25</f>
        <v>0</v>
      </c>
      <c r="E29" s="169">
        <f>'Available Funds'!E25</f>
        <v>0</v>
      </c>
      <c r="F29" s="169">
        <f>'Available Funds'!F25</f>
        <v>0</v>
      </c>
      <c r="G29" s="169">
        <f>'Available Funds'!G25</f>
        <v>0</v>
      </c>
      <c r="H29" s="169">
        <f>'Available Funds'!H25</f>
        <v>0</v>
      </c>
      <c r="I29" s="169">
        <f>'Available Funds'!I25</f>
        <v>0</v>
      </c>
      <c r="J29" s="169">
        <f>'Available Funds'!J25</f>
        <v>0</v>
      </c>
      <c r="K29" s="169">
        <f>'Available Funds'!K25</f>
        <v>0</v>
      </c>
      <c r="L29" s="169">
        <f>'Available Funds'!L25</f>
        <v>0</v>
      </c>
      <c r="M29" s="169">
        <f>'Available Funds'!M25</f>
        <v>0</v>
      </c>
      <c r="N29" s="169">
        <f>'Available Funds'!N25</f>
        <v>0</v>
      </c>
      <c r="O29" s="169">
        <f>'Available Funds'!O25</f>
        <v>0</v>
      </c>
      <c r="P29" s="169">
        <f>'Available Funds'!P25</f>
        <v>0</v>
      </c>
      <c r="Q29" s="169">
        <f>'Available Funds'!Q25</f>
        <v>0</v>
      </c>
      <c r="R29" s="169">
        <f>'Available Funds'!R25</f>
        <v>0</v>
      </c>
      <c r="S29" s="169">
        <f>'Available Funds'!S25</f>
        <v>0</v>
      </c>
      <c r="T29" s="169">
        <f>'Available Funds'!T25</f>
        <v>1019894</v>
      </c>
      <c r="U29" s="169">
        <f>'Available Funds'!U25</f>
        <v>1144750</v>
      </c>
      <c r="V29" s="169">
        <f>'Available Funds'!V25</f>
        <v>856780</v>
      </c>
      <c r="W29" s="169">
        <f>'Available Funds'!W25</f>
        <v>585417</v>
      </c>
      <c r="X29" s="169">
        <f>'Available Funds'!X25</f>
        <v>0</v>
      </c>
      <c r="Y29" s="169">
        <f>'Available Funds'!Y25</f>
        <v>0</v>
      </c>
      <c r="Z29" s="169">
        <f>'Available Funds'!Z25</f>
        <v>0</v>
      </c>
      <c r="AA29" s="169">
        <f>'Available Funds'!AA25</f>
        <v>0</v>
      </c>
      <c r="AB29" s="169">
        <f>'Available Funds'!AB25</f>
        <v>0</v>
      </c>
      <c r="AC29" s="726"/>
      <c r="AD29" s="391" t="s">
        <v>188</v>
      </c>
      <c r="AF29" s="49" t="s">
        <v>189</v>
      </c>
    </row>
    <row r="30" spans="1:32">
      <c r="B30" s="630" t="s">
        <v>190</v>
      </c>
      <c r="C30" s="189">
        <f>'Available Funds'!C43</f>
        <v>0</v>
      </c>
      <c r="D30" s="189">
        <f>'Available Funds'!D43</f>
        <v>0</v>
      </c>
      <c r="E30" s="189">
        <f>'Available Funds'!E43</f>
        <v>0</v>
      </c>
      <c r="F30" s="189">
        <f>'Available Funds'!F43</f>
        <v>0</v>
      </c>
      <c r="G30" s="189">
        <f>'Available Funds'!G43</f>
        <v>0</v>
      </c>
      <c r="H30" s="189">
        <f>'Available Funds'!H43</f>
        <v>0</v>
      </c>
      <c r="I30" s="189">
        <f>'Available Funds'!I43</f>
        <v>0</v>
      </c>
      <c r="J30" s="189">
        <f>'Available Funds'!J43</f>
        <v>0</v>
      </c>
      <c r="K30" s="189">
        <f>'Available Funds'!K43</f>
        <v>0</v>
      </c>
      <c r="L30" s="189">
        <f>'Available Funds'!L43</f>
        <v>0</v>
      </c>
      <c r="M30" s="189">
        <f>'Available Funds'!M43</f>
        <v>0</v>
      </c>
      <c r="N30" s="189">
        <f>'Available Funds'!N43</f>
        <v>0</v>
      </c>
      <c r="O30" s="189">
        <f>'Available Funds'!O43</f>
        <v>0</v>
      </c>
      <c r="P30" s="189">
        <f>'Available Funds'!P43</f>
        <v>0</v>
      </c>
      <c r="Q30" s="189">
        <f>'Available Funds'!Q43</f>
        <v>0</v>
      </c>
      <c r="R30" s="189">
        <f>'Available Funds'!R43</f>
        <v>3209465</v>
      </c>
      <c r="S30" s="189">
        <f>'Available Funds'!S43</f>
        <v>2852594</v>
      </c>
      <c r="T30" s="189">
        <f>'Available Funds'!T43</f>
        <v>3159059</v>
      </c>
      <c r="U30" s="189">
        <f>'Available Funds'!U43</f>
        <v>3289217</v>
      </c>
      <c r="V30" s="189">
        <f>'Available Funds'!V43</f>
        <v>3402558</v>
      </c>
      <c r="W30" s="189">
        <f>'Available Funds'!W43</f>
        <v>4205278</v>
      </c>
      <c r="X30" s="189">
        <f>'Available Funds'!X43</f>
        <v>3608111</v>
      </c>
      <c r="Y30" s="189">
        <f>'Available Funds'!Y43</f>
        <v>3686188.7749999999</v>
      </c>
      <c r="Z30" s="189">
        <f>'Available Funds'!Z43</f>
        <v>3766218.4943749998</v>
      </c>
      <c r="AA30" s="189">
        <f>'Available Funds'!AA43</f>
        <v>3848249.9567343746</v>
      </c>
      <c r="AB30" s="189">
        <f>'Available Funds'!AB43</f>
        <v>3932332.1806527339</v>
      </c>
      <c r="AC30" s="725"/>
      <c r="AD30" s="391" t="s">
        <v>188</v>
      </c>
    </row>
    <row r="31" spans="1:32">
      <c r="B31" s="667" t="s">
        <v>191</v>
      </c>
      <c r="C31" s="475">
        <f t="shared" ref="C31:G31" si="18">SUM(C29:C30)</f>
        <v>0</v>
      </c>
      <c r="D31" s="475">
        <f t="shared" si="18"/>
        <v>0</v>
      </c>
      <c r="E31" s="475">
        <f t="shared" si="18"/>
        <v>0</v>
      </c>
      <c r="F31" s="475">
        <f t="shared" si="18"/>
        <v>0</v>
      </c>
      <c r="G31" s="475">
        <f t="shared" si="18"/>
        <v>0</v>
      </c>
      <c r="H31" s="475">
        <f t="shared" ref="H31:L31" si="19">SUM(H29:H30)</f>
        <v>0</v>
      </c>
      <c r="I31" s="475">
        <f t="shared" si="19"/>
        <v>0</v>
      </c>
      <c r="J31" s="475">
        <f t="shared" si="19"/>
        <v>0</v>
      </c>
      <c r="K31" s="475">
        <f t="shared" si="19"/>
        <v>0</v>
      </c>
      <c r="L31" s="475">
        <f t="shared" si="19"/>
        <v>0</v>
      </c>
      <c r="M31" s="475">
        <f t="shared" ref="M31:R31" si="20">SUM(M29:M30)</f>
        <v>0</v>
      </c>
      <c r="N31" s="476">
        <f t="shared" si="20"/>
        <v>0</v>
      </c>
      <c r="O31" s="476">
        <f t="shared" si="20"/>
        <v>0</v>
      </c>
      <c r="P31" s="476">
        <f t="shared" si="20"/>
        <v>0</v>
      </c>
      <c r="Q31" s="476">
        <f t="shared" si="20"/>
        <v>0</v>
      </c>
      <c r="R31" s="476">
        <f t="shared" si="20"/>
        <v>3209465</v>
      </c>
      <c r="S31" s="476">
        <f t="shared" ref="S31:U31" si="21">SUM(S29:S30)</f>
        <v>2852594</v>
      </c>
      <c r="T31" s="476">
        <f t="shared" ref="T31" si="22">SUM(T29:T30)</f>
        <v>4178953</v>
      </c>
      <c r="U31" s="476">
        <f t="shared" si="21"/>
        <v>4433967</v>
      </c>
      <c r="V31" s="476">
        <f t="shared" ref="V31:W31" si="23">SUM(V29:V30)</f>
        <v>4259338</v>
      </c>
      <c r="W31" s="476">
        <f t="shared" si="23"/>
        <v>4790695</v>
      </c>
      <c r="X31" s="476">
        <f t="shared" ref="X31:Y31" si="24">SUM(X29:X30)</f>
        <v>3608111</v>
      </c>
      <c r="Y31" s="476">
        <f t="shared" si="24"/>
        <v>3686188.7749999999</v>
      </c>
      <c r="Z31" s="476">
        <f t="shared" ref="Z31:AB31" si="25">SUM(Z29:Z30)</f>
        <v>3766218.4943749998</v>
      </c>
      <c r="AA31" s="476">
        <f t="shared" si="25"/>
        <v>3848249.9567343746</v>
      </c>
      <c r="AB31" s="476">
        <f t="shared" si="25"/>
        <v>3932332.1806527339</v>
      </c>
      <c r="AC31" s="732"/>
      <c r="AD31" s="682"/>
      <c r="AF31" s="49" t="s">
        <v>171</v>
      </c>
    </row>
    <row r="32" spans="1:32" ht="12.75" thickBot="1">
      <c r="B32" s="66" t="s">
        <v>192</v>
      </c>
      <c r="C32" s="327">
        <f>C13+C19+C21+C26+C31</f>
        <v>6542878</v>
      </c>
      <c r="D32" s="327">
        <f t="shared" ref="D32:V32" si="26">D13+D19+D21+D26+D31</f>
        <v>6809728.96</v>
      </c>
      <c r="E32" s="327">
        <f t="shared" si="26"/>
        <v>6579471.1699999999</v>
      </c>
      <c r="F32" s="327">
        <f t="shared" si="26"/>
        <v>7263524</v>
      </c>
      <c r="G32" s="327">
        <f t="shared" si="26"/>
        <v>14505323</v>
      </c>
      <c r="H32" s="327">
        <f t="shared" si="26"/>
        <v>15695796</v>
      </c>
      <c r="I32" s="327">
        <f t="shared" si="26"/>
        <v>14279949</v>
      </c>
      <c r="J32" s="327">
        <f t="shared" si="26"/>
        <v>14424027</v>
      </c>
      <c r="K32" s="327">
        <f t="shared" si="26"/>
        <v>15141278</v>
      </c>
      <c r="L32" s="327">
        <f t="shared" si="26"/>
        <v>15986138</v>
      </c>
      <c r="M32" s="327">
        <f t="shared" si="26"/>
        <v>16979344</v>
      </c>
      <c r="N32" s="327">
        <f t="shared" si="26"/>
        <v>18657453</v>
      </c>
      <c r="O32" s="327">
        <f t="shared" si="26"/>
        <v>19118889</v>
      </c>
      <c r="P32" s="327">
        <f t="shared" si="26"/>
        <v>20337614</v>
      </c>
      <c r="Q32" s="327">
        <f t="shared" si="26"/>
        <v>21004379</v>
      </c>
      <c r="R32" s="327">
        <f t="shared" si="26"/>
        <v>23760251</v>
      </c>
      <c r="S32" s="327">
        <f t="shared" si="26"/>
        <v>24015395</v>
      </c>
      <c r="T32" s="327">
        <f t="shared" si="26"/>
        <v>25979016</v>
      </c>
      <c r="U32" s="327">
        <f t="shared" si="26"/>
        <v>27239208.859999999</v>
      </c>
      <c r="V32" s="327">
        <f t="shared" si="26"/>
        <v>28027689.880000003</v>
      </c>
      <c r="W32" s="327">
        <f t="shared" ref="W32:X32" si="27">W13+W19+W21+W26+W31</f>
        <v>30108785.649999999</v>
      </c>
      <c r="X32" s="327">
        <f t="shared" si="27"/>
        <v>36910436.266249999</v>
      </c>
      <c r="Y32" s="327">
        <f t="shared" ref="Y32:Z32" si="28">Y13+Y19+Y21+Y26+Y31</f>
        <v>38658294.102906249</v>
      </c>
      <c r="Z32" s="327">
        <f t="shared" si="28"/>
        <v>39669642.832018904</v>
      </c>
      <c r="AA32" s="327">
        <f t="shared" ref="AA32:AB32" si="29">AA13+AA19+AA21+AA26+AA31</f>
        <v>40682264.665747896</v>
      </c>
      <c r="AB32" s="327">
        <f t="shared" si="29"/>
        <v>41724908.240817115</v>
      </c>
      <c r="AC32" s="20"/>
      <c r="AD32" s="686"/>
      <c r="AF32" s="49" t="s">
        <v>171</v>
      </c>
    </row>
    <row r="33" spans="2:32" ht="12.75" thickTop="1">
      <c r="B33" s="57"/>
      <c r="C33" s="20"/>
      <c r="D33" s="20"/>
      <c r="E33" s="20"/>
      <c r="F33" s="208"/>
      <c r="G33" s="208"/>
      <c r="H33" s="208"/>
      <c r="I33" s="208"/>
      <c r="J33" s="208"/>
      <c r="K33" s="208"/>
      <c r="L33" s="208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729"/>
      <c r="AD33" s="682"/>
    </row>
    <row r="34" spans="2:32">
      <c r="B34" s="64" t="s">
        <v>193</v>
      </c>
      <c r="C34" s="318"/>
      <c r="D34" s="318"/>
      <c r="E34" s="318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733"/>
      <c r="AD34" s="682"/>
    </row>
    <row r="35" spans="2:32">
      <c r="B35" s="630" t="s">
        <v>194</v>
      </c>
      <c r="C35" s="632">
        <f>'Enterprise Funds'!C10</f>
        <v>0</v>
      </c>
      <c r="D35" s="632">
        <f>'Enterprise Funds'!D10</f>
        <v>0</v>
      </c>
      <c r="E35" s="632">
        <f>'Enterprise Funds'!E10</f>
        <v>0</v>
      </c>
      <c r="F35" s="632">
        <f>'Enterprise Funds'!F10</f>
        <v>0</v>
      </c>
      <c r="G35" s="632">
        <f>'Enterprise Funds'!G10</f>
        <v>0</v>
      </c>
      <c r="H35" s="632">
        <f>'Enterprise Funds'!H10</f>
        <v>0</v>
      </c>
      <c r="I35" s="632">
        <f>'Enterprise Funds'!I10</f>
        <v>0</v>
      </c>
      <c r="J35" s="632">
        <f>'Enterprise Funds'!J10</f>
        <v>0</v>
      </c>
      <c r="K35" s="632">
        <f>'Enterprise Funds'!K10</f>
        <v>0</v>
      </c>
      <c r="L35" s="632">
        <f>'Enterprise Funds'!L10</f>
        <v>0</v>
      </c>
      <c r="M35" s="632">
        <f>'Enterprise Funds'!M10</f>
        <v>0</v>
      </c>
      <c r="N35" s="632">
        <f>'Enterprise Funds'!N10</f>
        <v>0</v>
      </c>
      <c r="O35" s="632">
        <f>'Enterprise Funds'!O10</f>
        <v>0</v>
      </c>
      <c r="P35" s="632">
        <f>'Enterprise Funds'!P10</f>
        <v>0</v>
      </c>
      <c r="Q35" s="632">
        <f>'Enterprise Funds'!Q10</f>
        <v>0</v>
      </c>
      <c r="R35" s="632">
        <f>'Enterprise Funds'!R10</f>
        <v>0</v>
      </c>
      <c r="S35" s="632">
        <f>'Enterprise Funds'!S10</f>
        <v>0</v>
      </c>
      <c r="T35" s="632">
        <f>'Enterprise Funds'!T10</f>
        <v>0</v>
      </c>
      <c r="U35" s="632">
        <f>'Enterprise Funds'!U10</f>
        <v>0</v>
      </c>
      <c r="V35" s="632">
        <f>'Enterprise Funds'!V10</f>
        <v>0</v>
      </c>
      <c r="W35" s="632">
        <f>'Enterprise Funds'!W10</f>
        <v>0</v>
      </c>
      <c r="X35" s="632">
        <f>'Enterprise Funds'!X10</f>
        <v>0</v>
      </c>
      <c r="Y35" s="632">
        <f>'Enterprise Funds'!Y10</f>
        <v>0</v>
      </c>
      <c r="Z35" s="632">
        <f>'Enterprise Funds'!AC10</f>
        <v>0</v>
      </c>
      <c r="AA35" s="632" t="str">
        <f>'Enterprise Funds'!AD10</f>
        <v/>
      </c>
      <c r="AB35" s="632">
        <f>'Enterprise Funds'!AE10</f>
        <v>0</v>
      </c>
      <c r="AC35" s="190"/>
      <c r="AD35" s="687" t="s">
        <v>195</v>
      </c>
      <c r="AE35" s="56"/>
      <c r="AF35" s="49" t="s">
        <v>196</v>
      </c>
    </row>
    <row r="36" spans="2:32">
      <c r="B36" s="630" t="s">
        <v>197</v>
      </c>
      <c r="C36" s="632">
        <f>'Enterprise Funds'!C11</f>
        <v>0</v>
      </c>
      <c r="D36" s="632">
        <f>'Enterprise Funds'!D11</f>
        <v>0</v>
      </c>
      <c r="E36" s="632">
        <f>'Enterprise Funds'!E11</f>
        <v>0</v>
      </c>
      <c r="F36" s="632">
        <f>'Enterprise Funds'!F11</f>
        <v>0</v>
      </c>
      <c r="G36" s="632">
        <f>'Enterprise Funds'!G11</f>
        <v>0</v>
      </c>
      <c r="H36" s="632">
        <f>'Enterprise Funds'!H11</f>
        <v>0</v>
      </c>
      <c r="I36" s="632">
        <f>'Enterprise Funds'!I11</f>
        <v>0</v>
      </c>
      <c r="J36" s="632">
        <f>'Enterprise Funds'!J11</f>
        <v>0</v>
      </c>
      <c r="K36" s="632">
        <f>'Enterprise Funds'!K11</f>
        <v>0</v>
      </c>
      <c r="L36" s="632">
        <f>'Enterprise Funds'!L11</f>
        <v>0</v>
      </c>
      <c r="M36" s="632">
        <f>'Enterprise Funds'!M11</f>
        <v>0</v>
      </c>
      <c r="N36" s="632">
        <f>'Enterprise Funds'!N11</f>
        <v>0</v>
      </c>
      <c r="O36" s="632">
        <f>'Enterprise Funds'!O11</f>
        <v>0</v>
      </c>
      <c r="P36" s="632">
        <f>'Enterprise Funds'!P11</f>
        <v>0</v>
      </c>
      <c r="Q36" s="632">
        <f>'Enterprise Funds'!Q11</f>
        <v>0</v>
      </c>
      <c r="R36" s="632">
        <f>'Enterprise Funds'!R11</f>
        <v>0</v>
      </c>
      <c r="S36" s="632">
        <f>'Enterprise Funds'!S11</f>
        <v>0</v>
      </c>
      <c r="T36" s="632">
        <f>'Enterprise Funds'!T11</f>
        <v>0</v>
      </c>
      <c r="U36" s="632">
        <f>'Enterprise Funds'!U11</f>
        <v>0</v>
      </c>
      <c r="V36" s="632">
        <f>'Enterprise Funds'!V11</f>
        <v>0</v>
      </c>
      <c r="W36" s="632">
        <f>'Enterprise Funds'!W11</f>
        <v>0</v>
      </c>
      <c r="X36" s="632">
        <f>'Enterprise Funds'!X11</f>
        <v>0</v>
      </c>
      <c r="Y36" s="632">
        <f>'Enterprise Funds'!Y11</f>
        <v>0</v>
      </c>
      <c r="Z36" s="632">
        <f>'Enterprise Funds'!AC11</f>
        <v>0</v>
      </c>
      <c r="AA36" s="632" t="str">
        <f>'Enterprise Funds'!AD11</f>
        <v/>
      </c>
      <c r="AB36" s="632">
        <f>'Enterprise Funds'!AE11</f>
        <v>0</v>
      </c>
      <c r="AC36" s="190"/>
      <c r="AD36" s="682"/>
      <c r="AE36" s="56"/>
    </row>
    <row r="37" spans="2:32">
      <c r="B37" s="630" t="s">
        <v>190</v>
      </c>
      <c r="C37" s="178">
        <f>'Enterprise Funds'!C12+'Enterprise Funds'!C13</f>
        <v>0</v>
      </c>
      <c r="D37" s="178">
        <f>'Enterprise Funds'!D12+'Enterprise Funds'!D13</f>
        <v>0</v>
      </c>
      <c r="E37" s="178">
        <f>'Enterprise Funds'!E12+'Enterprise Funds'!E13</f>
        <v>0</v>
      </c>
      <c r="F37" s="178">
        <f>'Enterprise Funds'!F12+'Enterprise Funds'!F13</f>
        <v>0</v>
      </c>
      <c r="G37" s="178">
        <f>'Enterprise Funds'!G12+'Enterprise Funds'!G13</f>
        <v>0</v>
      </c>
      <c r="H37" s="178">
        <f>'Enterprise Funds'!H12+'Enterprise Funds'!H13</f>
        <v>0</v>
      </c>
      <c r="I37" s="178">
        <f>'Enterprise Funds'!I12+'Enterprise Funds'!I13</f>
        <v>0</v>
      </c>
      <c r="J37" s="178">
        <f>'Enterprise Funds'!J12+'Enterprise Funds'!J13</f>
        <v>0</v>
      </c>
      <c r="K37" s="178">
        <f>'Enterprise Funds'!K12+'Enterprise Funds'!K13</f>
        <v>0</v>
      </c>
      <c r="L37" s="178">
        <f>'Enterprise Funds'!L12+'Enterprise Funds'!L13</f>
        <v>0</v>
      </c>
      <c r="M37" s="178">
        <f>'Enterprise Funds'!M12+'Enterprise Funds'!M13</f>
        <v>0</v>
      </c>
      <c r="N37" s="178">
        <f>'Enterprise Funds'!N12+'Enterprise Funds'!N13</f>
        <v>0</v>
      </c>
      <c r="O37" s="178">
        <f>'Enterprise Funds'!O12+'Enterprise Funds'!O13</f>
        <v>0</v>
      </c>
      <c r="P37" s="178">
        <f>'Enterprise Funds'!P12+'Enterprise Funds'!P13</f>
        <v>0</v>
      </c>
      <c r="Q37" s="178">
        <f>'Enterprise Funds'!Q12+'Enterprise Funds'!Q13</f>
        <v>0</v>
      </c>
      <c r="R37" s="178">
        <f>'Enterprise Funds'!R12+'Enterprise Funds'!R13</f>
        <v>0</v>
      </c>
      <c r="S37" s="178">
        <f>'Enterprise Funds'!S12+'Enterprise Funds'!S13</f>
        <v>0</v>
      </c>
      <c r="T37" s="178">
        <f>'Enterprise Funds'!T12+'Enterprise Funds'!T13</f>
        <v>0</v>
      </c>
      <c r="U37" s="178">
        <f>'Enterprise Funds'!U12+'Enterprise Funds'!U13</f>
        <v>0</v>
      </c>
      <c r="V37" s="178">
        <f>'Enterprise Funds'!V12+'Enterprise Funds'!V13</f>
        <v>0</v>
      </c>
      <c r="W37" s="178">
        <f>'Enterprise Funds'!W12+'Enterprise Funds'!W13</f>
        <v>0</v>
      </c>
      <c r="X37" s="178">
        <f>'Enterprise Funds'!X12+'Enterprise Funds'!X13</f>
        <v>0</v>
      </c>
      <c r="Y37" s="178">
        <f>'Enterprise Funds'!Y12+'Enterprise Funds'!Y13</f>
        <v>0</v>
      </c>
      <c r="Z37" s="178">
        <f>'Enterprise Funds'!AC12+'Enterprise Funds'!AC13</f>
        <v>0</v>
      </c>
      <c r="AA37" s="178">
        <f>'Enterprise Funds'!AA12+'Enterprise Funds'!AA13</f>
        <v>0</v>
      </c>
      <c r="AB37" s="178">
        <f>'Enterprise Funds'!AE12+'Enterprise Funds'!AE13</f>
        <v>0</v>
      </c>
      <c r="AC37" s="190"/>
      <c r="AD37" s="688"/>
      <c r="AE37" s="56"/>
    </row>
    <row r="38" spans="2:32">
      <c r="B38" s="630" t="s">
        <v>194</v>
      </c>
      <c r="C38" s="178">
        <f>'Enterprise Funds'!C45</f>
        <v>0</v>
      </c>
      <c r="D38" s="178">
        <f>'Enterprise Funds'!D45</f>
        <v>0</v>
      </c>
      <c r="E38" s="178">
        <f>'Enterprise Funds'!E45</f>
        <v>0</v>
      </c>
      <c r="F38" s="178">
        <f>'Enterprise Funds'!F45</f>
        <v>0</v>
      </c>
      <c r="G38" s="178">
        <f>'Enterprise Funds'!G45</f>
        <v>0</v>
      </c>
      <c r="H38" s="178">
        <f>'Enterprise Funds'!H45</f>
        <v>0</v>
      </c>
      <c r="I38" s="178">
        <f>'Enterprise Funds'!I45</f>
        <v>0</v>
      </c>
      <c r="J38" s="178">
        <f>'Enterprise Funds'!J45</f>
        <v>0</v>
      </c>
      <c r="K38" s="178">
        <f>'Enterprise Funds'!K45</f>
        <v>0</v>
      </c>
      <c r="L38" s="178">
        <f>'Enterprise Funds'!L45</f>
        <v>0</v>
      </c>
      <c r="M38" s="178">
        <f>'Enterprise Funds'!M45</f>
        <v>0</v>
      </c>
      <c r="N38" s="178">
        <f>'Enterprise Funds'!N45</f>
        <v>0</v>
      </c>
      <c r="O38" s="178">
        <f>'Enterprise Funds'!O45</f>
        <v>0</v>
      </c>
      <c r="P38" s="178">
        <f>'Enterprise Funds'!P45</f>
        <v>0</v>
      </c>
      <c r="Q38" s="178">
        <f>'Enterprise Funds'!Q45</f>
        <v>0</v>
      </c>
      <c r="R38" s="178">
        <f>'Enterprise Funds'!R45</f>
        <v>0</v>
      </c>
      <c r="S38" s="178">
        <f>'Enterprise Funds'!S45</f>
        <v>0</v>
      </c>
      <c r="T38" s="178">
        <f>'Enterprise Funds'!T45</f>
        <v>0</v>
      </c>
      <c r="U38" s="178">
        <f>'Enterprise Funds'!U45</f>
        <v>0</v>
      </c>
      <c r="V38" s="178">
        <f>'Enterprise Funds'!V45</f>
        <v>0</v>
      </c>
      <c r="W38" s="178">
        <f>'Enterprise Funds'!W45</f>
        <v>0</v>
      </c>
      <c r="X38" s="178">
        <f>'Enterprise Funds'!X45</f>
        <v>0</v>
      </c>
      <c r="Y38" s="178">
        <f>'Enterprise Funds'!Y45</f>
        <v>0</v>
      </c>
      <c r="Z38" s="178">
        <f>'Enterprise Funds'!AC45</f>
        <v>0</v>
      </c>
      <c r="AA38" s="178" t="str">
        <f>'Enterprise Funds'!AD45</f>
        <v/>
      </c>
      <c r="AB38" s="178">
        <f>'Enterprise Funds'!AE45</f>
        <v>0</v>
      </c>
      <c r="AC38" s="190"/>
      <c r="AD38" s="687" t="s">
        <v>195</v>
      </c>
      <c r="AE38" s="56"/>
      <c r="AF38" s="49" t="s">
        <v>196</v>
      </c>
    </row>
    <row r="39" spans="2:32">
      <c r="B39" s="630" t="s">
        <v>197</v>
      </c>
      <c r="C39" s="178">
        <f>'Enterprise Funds'!C46</f>
        <v>0</v>
      </c>
      <c r="D39" s="178">
        <f>'Enterprise Funds'!D46</f>
        <v>0</v>
      </c>
      <c r="E39" s="178">
        <f>'Enterprise Funds'!E46</f>
        <v>0</v>
      </c>
      <c r="F39" s="178">
        <f>'Enterprise Funds'!F46</f>
        <v>0</v>
      </c>
      <c r="G39" s="178">
        <f>'Enterprise Funds'!G46</f>
        <v>0</v>
      </c>
      <c r="H39" s="178">
        <f>'Enterprise Funds'!H46</f>
        <v>0</v>
      </c>
      <c r="I39" s="178">
        <f>'Enterprise Funds'!I46</f>
        <v>0</v>
      </c>
      <c r="J39" s="178">
        <f>'Enterprise Funds'!J46</f>
        <v>0</v>
      </c>
      <c r="K39" s="178">
        <f>'Enterprise Funds'!K46</f>
        <v>0</v>
      </c>
      <c r="L39" s="178">
        <f>'Enterprise Funds'!L46</f>
        <v>0</v>
      </c>
      <c r="M39" s="178">
        <f>'Enterprise Funds'!M46</f>
        <v>0</v>
      </c>
      <c r="N39" s="178">
        <f>'Enterprise Funds'!N46</f>
        <v>0</v>
      </c>
      <c r="O39" s="178">
        <f>'Enterprise Funds'!O46</f>
        <v>0</v>
      </c>
      <c r="P39" s="178">
        <f>'Enterprise Funds'!P46</f>
        <v>0</v>
      </c>
      <c r="Q39" s="178">
        <f>'Enterprise Funds'!Q46</f>
        <v>0</v>
      </c>
      <c r="R39" s="178">
        <f>'Enterprise Funds'!R46</f>
        <v>0</v>
      </c>
      <c r="S39" s="178">
        <f>'Enterprise Funds'!S46</f>
        <v>0</v>
      </c>
      <c r="T39" s="178">
        <f>'Enterprise Funds'!T46</f>
        <v>0</v>
      </c>
      <c r="U39" s="178">
        <f>'Enterprise Funds'!U46</f>
        <v>0</v>
      </c>
      <c r="V39" s="178">
        <f>'Enterprise Funds'!V46</f>
        <v>0</v>
      </c>
      <c r="W39" s="178">
        <f>'Enterprise Funds'!W46</f>
        <v>0</v>
      </c>
      <c r="X39" s="178">
        <f>'Enterprise Funds'!X46</f>
        <v>0</v>
      </c>
      <c r="Y39" s="178">
        <f>'Enterprise Funds'!Y46</f>
        <v>0</v>
      </c>
      <c r="Z39" s="178">
        <f>'Enterprise Funds'!AC46</f>
        <v>0</v>
      </c>
      <c r="AA39" s="178" t="str">
        <f>'Enterprise Funds'!AD46</f>
        <v/>
      </c>
      <c r="AB39" s="178">
        <f>'Enterprise Funds'!AE46</f>
        <v>0</v>
      </c>
      <c r="AC39" s="190"/>
      <c r="AD39" s="682"/>
      <c r="AE39" s="56"/>
    </row>
    <row r="40" spans="2:32">
      <c r="B40" s="630" t="s">
        <v>190</v>
      </c>
      <c r="C40" s="178">
        <f>'Enterprise Funds'!C47+'Enterprise Funds'!C48</f>
        <v>0</v>
      </c>
      <c r="D40" s="178">
        <f>'Enterprise Funds'!D47+'Enterprise Funds'!D48</f>
        <v>0</v>
      </c>
      <c r="E40" s="178">
        <f>'Enterprise Funds'!E47+'Enterprise Funds'!E48</f>
        <v>0</v>
      </c>
      <c r="F40" s="178">
        <f>'Enterprise Funds'!F47+'Enterprise Funds'!F48</f>
        <v>0</v>
      </c>
      <c r="G40" s="178">
        <f>'Enterprise Funds'!G47+'Enterprise Funds'!G48</f>
        <v>0</v>
      </c>
      <c r="H40" s="178">
        <f>'Enterprise Funds'!H47+'Enterprise Funds'!H48</f>
        <v>0</v>
      </c>
      <c r="I40" s="178">
        <f>'Enterprise Funds'!I47+'Enterprise Funds'!I48</f>
        <v>0</v>
      </c>
      <c r="J40" s="178">
        <f>'Enterprise Funds'!J47+'Enterprise Funds'!J48</f>
        <v>0</v>
      </c>
      <c r="K40" s="178">
        <f>'Enterprise Funds'!K47+'Enterprise Funds'!K48</f>
        <v>0</v>
      </c>
      <c r="L40" s="178">
        <f>'Enterprise Funds'!L47+'Enterprise Funds'!L48</f>
        <v>0</v>
      </c>
      <c r="M40" s="178">
        <f>'Enterprise Funds'!M47+'Enterprise Funds'!M48</f>
        <v>0</v>
      </c>
      <c r="N40" s="178">
        <f>'Enterprise Funds'!N47+'Enterprise Funds'!N48</f>
        <v>0</v>
      </c>
      <c r="O40" s="178">
        <f>'Enterprise Funds'!O47+'Enterprise Funds'!O48</f>
        <v>0</v>
      </c>
      <c r="P40" s="178">
        <f>'Enterprise Funds'!P47+'Enterprise Funds'!P48</f>
        <v>0</v>
      </c>
      <c r="Q40" s="178">
        <f>'Enterprise Funds'!Q47+'Enterprise Funds'!Q48</f>
        <v>0</v>
      </c>
      <c r="R40" s="178">
        <f>'Enterprise Funds'!R47+'Enterprise Funds'!R48</f>
        <v>0</v>
      </c>
      <c r="S40" s="178">
        <f>'Enterprise Funds'!S47+'Enterprise Funds'!S48</f>
        <v>0</v>
      </c>
      <c r="T40" s="178">
        <f>'Enterprise Funds'!T47+'Enterprise Funds'!T48</f>
        <v>0</v>
      </c>
      <c r="U40" s="178">
        <f>'Enterprise Funds'!U47+'Enterprise Funds'!U48</f>
        <v>0</v>
      </c>
      <c r="V40" s="178">
        <f>'Enterprise Funds'!V47+'Enterprise Funds'!V48</f>
        <v>0</v>
      </c>
      <c r="W40" s="178">
        <f>'Enterprise Funds'!W47+'Enterprise Funds'!W48</f>
        <v>0</v>
      </c>
      <c r="X40" s="178">
        <f>'Enterprise Funds'!X47+'Enterprise Funds'!X48</f>
        <v>0</v>
      </c>
      <c r="Y40" s="178">
        <f>'Enterprise Funds'!Y47+'Enterprise Funds'!Y48</f>
        <v>0</v>
      </c>
      <c r="Z40" s="178">
        <f>'Enterprise Funds'!AC47+'Enterprise Funds'!AC48</f>
        <v>0</v>
      </c>
      <c r="AA40" s="178">
        <f>'Enterprise Funds'!AA47+'Enterprise Funds'!AA48</f>
        <v>0</v>
      </c>
      <c r="AB40" s="178">
        <f>'Enterprise Funds'!AE47+'Enterprise Funds'!AE48</f>
        <v>0</v>
      </c>
      <c r="AC40" s="190"/>
      <c r="AD40" s="688"/>
      <c r="AE40" s="56"/>
    </row>
    <row r="41" spans="2:32">
      <c r="B41" s="630" t="s">
        <v>194</v>
      </c>
      <c r="C41" s="178">
        <f>+'Enterprise Funds'!C80</f>
        <v>0</v>
      </c>
      <c r="D41" s="178">
        <f>+'Enterprise Funds'!D80</f>
        <v>0</v>
      </c>
      <c r="E41" s="178">
        <f>+'Enterprise Funds'!E80</f>
        <v>0</v>
      </c>
      <c r="F41" s="178">
        <f>+'Enterprise Funds'!F80</f>
        <v>0</v>
      </c>
      <c r="G41" s="178">
        <f>+'Enterprise Funds'!G80</f>
        <v>0</v>
      </c>
      <c r="H41" s="178">
        <f>+'Enterprise Funds'!H80</f>
        <v>0</v>
      </c>
      <c r="I41" s="178">
        <f>+'Enterprise Funds'!I80</f>
        <v>0</v>
      </c>
      <c r="J41" s="178">
        <f>+'Enterprise Funds'!J80</f>
        <v>0</v>
      </c>
      <c r="K41" s="178">
        <f>+'Enterprise Funds'!K80</f>
        <v>0</v>
      </c>
      <c r="L41" s="178">
        <f>+'Enterprise Funds'!L80</f>
        <v>0</v>
      </c>
      <c r="M41" s="178">
        <f>+'Enterprise Funds'!M80</f>
        <v>0</v>
      </c>
      <c r="N41" s="178">
        <f>+'Enterprise Funds'!N80</f>
        <v>0</v>
      </c>
      <c r="O41" s="178">
        <f>+'Enterprise Funds'!O80</f>
        <v>0</v>
      </c>
      <c r="P41" s="178">
        <f>+'Enterprise Funds'!P80</f>
        <v>0</v>
      </c>
      <c r="Q41" s="178">
        <f>+'Enterprise Funds'!Q80</f>
        <v>0</v>
      </c>
      <c r="R41" s="178">
        <f>+'Enterprise Funds'!R80</f>
        <v>0</v>
      </c>
      <c r="S41" s="178">
        <f>+'Enterprise Funds'!S80</f>
        <v>0</v>
      </c>
      <c r="T41" s="178">
        <f>+'Enterprise Funds'!T80</f>
        <v>0</v>
      </c>
      <c r="U41" s="178">
        <f>+'Enterprise Funds'!U80</f>
        <v>0</v>
      </c>
      <c r="V41" s="178">
        <f>+'Enterprise Funds'!V80</f>
        <v>0</v>
      </c>
      <c r="W41" s="178">
        <f>+'Enterprise Funds'!W80</f>
        <v>0</v>
      </c>
      <c r="X41" s="178">
        <f>+'Enterprise Funds'!X80</f>
        <v>0</v>
      </c>
      <c r="Y41" s="178">
        <f>+'Enterprise Funds'!Y80</f>
        <v>0</v>
      </c>
      <c r="Z41" s="178">
        <f>+'Enterprise Funds'!AC80</f>
        <v>0</v>
      </c>
      <c r="AA41" s="178" t="str">
        <f>+'Enterprise Funds'!AD80</f>
        <v/>
      </c>
      <c r="AB41" s="178">
        <f>+'Enterprise Funds'!AE80</f>
        <v>0</v>
      </c>
      <c r="AC41" s="190"/>
      <c r="AD41" s="687" t="s">
        <v>195</v>
      </c>
      <c r="AE41" s="56"/>
      <c r="AF41" s="49" t="s">
        <v>196</v>
      </c>
    </row>
    <row r="42" spans="2:32">
      <c r="B42" s="630" t="s">
        <v>197</v>
      </c>
      <c r="C42" s="178">
        <f>+'Enterprise Funds'!C81</f>
        <v>0</v>
      </c>
      <c r="D42" s="178">
        <f>+'Enterprise Funds'!D81</f>
        <v>0</v>
      </c>
      <c r="E42" s="178">
        <f>+'Enterprise Funds'!E81</f>
        <v>0</v>
      </c>
      <c r="F42" s="178">
        <f>+'Enterprise Funds'!F81</f>
        <v>0</v>
      </c>
      <c r="G42" s="178">
        <f>+'Enterprise Funds'!G81</f>
        <v>0</v>
      </c>
      <c r="H42" s="178">
        <f>+'Enterprise Funds'!H81</f>
        <v>0</v>
      </c>
      <c r="I42" s="178">
        <f>+'Enterprise Funds'!I81</f>
        <v>0</v>
      </c>
      <c r="J42" s="178">
        <f>+'Enterprise Funds'!J81</f>
        <v>0</v>
      </c>
      <c r="K42" s="178">
        <f>+'Enterprise Funds'!K81</f>
        <v>0</v>
      </c>
      <c r="L42" s="178">
        <f>+'Enterprise Funds'!L81</f>
        <v>0</v>
      </c>
      <c r="M42" s="178">
        <f>+'Enterprise Funds'!M81</f>
        <v>0</v>
      </c>
      <c r="N42" s="178">
        <f>+'Enterprise Funds'!N81</f>
        <v>0</v>
      </c>
      <c r="O42" s="178">
        <f>+'Enterprise Funds'!O81</f>
        <v>0</v>
      </c>
      <c r="P42" s="178">
        <f>+'Enterprise Funds'!P81</f>
        <v>0</v>
      </c>
      <c r="Q42" s="178">
        <f>+'Enterprise Funds'!Q81</f>
        <v>0</v>
      </c>
      <c r="R42" s="178">
        <f>+'Enterprise Funds'!R81</f>
        <v>0</v>
      </c>
      <c r="S42" s="178">
        <f>+'Enterprise Funds'!S81</f>
        <v>0</v>
      </c>
      <c r="T42" s="178">
        <f>+'Enterprise Funds'!T81</f>
        <v>0</v>
      </c>
      <c r="U42" s="178">
        <f>+'Enterprise Funds'!U81</f>
        <v>0</v>
      </c>
      <c r="V42" s="178">
        <f>+'Enterprise Funds'!V81</f>
        <v>0</v>
      </c>
      <c r="W42" s="178">
        <f>+'Enterprise Funds'!W81</f>
        <v>0</v>
      </c>
      <c r="X42" s="178">
        <f>+'Enterprise Funds'!X81</f>
        <v>0</v>
      </c>
      <c r="Y42" s="178">
        <f>+'Enterprise Funds'!Y81</f>
        <v>0</v>
      </c>
      <c r="Z42" s="178">
        <f>+'Enterprise Funds'!AC81</f>
        <v>0</v>
      </c>
      <c r="AA42" s="178" t="str">
        <f>+'Enterprise Funds'!AD81</f>
        <v/>
      </c>
      <c r="AB42" s="178">
        <f>+'Enterprise Funds'!AE81</f>
        <v>0</v>
      </c>
      <c r="AC42" s="190"/>
      <c r="AD42" s="682"/>
      <c r="AE42" s="56"/>
    </row>
    <row r="43" spans="2:32">
      <c r="B43" s="630" t="s">
        <v>190</v>
      </c>
      <c r="C43" s="178">
        <f>+'Enterprise Funds'!C82+'Enterprise Funds'!C83</f>
        <v>0</v>
      </c>
      <c r="D43" s="178">
        <f>+'Enterprise Funds'!D82+'Enterprise Funds'!D83</f>
        <v>0</v>
      </c>
      <c r="E43" s="178">
        <f>+'Enterprise Funds'!E82+'Enterprise Funds'!E83</f>
        <v>0</v>
      </c>
      <c r="F43" s="178">
        <f>+'Enterprise Funds'!F82+'Enterprise Funds'!F83</f>
        <v>0</v>
      </c>
      <c r="G43" s="178">
        <f>+'Enterprise Funds'!G82+'Enterprise Funds'!G83</f>
        <v>0</v>
      </c>
      <c r="H43" s="178">
        <f>+'Enterprise Funds'!H82+'Enterprise Funds'!H83</f>
        <v>0</v>
      </c>
      <c r="I43" s="178">
        <f>+'Enterprise Funds'!I82+'Enterprise Funds'!I83</f>
        <v>0</v>
      </c>
      <c r="J43" s="178">
        <f>+'Enterprise Funds'!J82+'Enterprise Funds'!J83</f>
        <v>0</v>
      </c>
      <c r="K43" s="178">
        <f>+'Enterprise Funds'!K82+'Enterprise Funds'!K83</f>
        <v>0</v>
      </c>
      <c r="L43" s="178">
        <f>+'Enterprise Funds'!L82+'Enterprise Funds'!L83</f>
        <v>0</v>
      </c>
      <c r="M43" s="178">
        <f>+'Enterprise Funds'!M82+'Enterprise Funds'!M83</f>
        <v>0</v>
      </c>
      <c r="N43" s="178">
        <f>+'Enterprise Funds'!N82+'Enterprise Funds'!N83</f>
        <v>0</v>
      </c>
      <c r="O43" s="178">
        <f>+'Enterprise Funds'!O82+'Enterprise Funds'!O83</f>
        <v>0</v>
      </c>
      <c r="P43" s="178">
        <f>+'Enterprise Funds'!P82+'Enterprise Funds'!P83</f>
        <v>0</v>
      </c>
      <c r="Q43" s="178">
        <f>+'Enterprise Funds'!Q82+'Enterprise Funds'!Q83</f>
        <v>0</v>
      </c>
      <c r="R43" s="178">
        <f>+'Enterprise Funds'!R82+'Enterprise Funds'!R83</f>
        <v>0</v>
      </c>
      <c r="S43" s="178">
        <f>+'Enterprise Funds'!S82+'Enterprise Funds'!S83</f>
        <v>0</v>
      </c>
      <c r="T43" s="178">
        <f>+'Enterprise Funds'!T82+'Enterprise Funds'!T83</f>
        <v>0</v>
      </c>
      <c r="U43" s="178">
        <f>+'Enterprise Funds'!U82+'Enterprise Funds'!U83</f>
        <v>0</v>
      </c>
      <c r="V43" s="178">
        <f>+'Enterprise Funds'!V82+'Enterprise Funds'!V83</f>
        <v>0</v>
      </c>
      <c r="W43" s="178">
        <f>+'Enterprise Funds'!W82+'Enterprise Funds'!W83</f>
        <v>0</v>
      </c>
      <c r="X43" s="178">
        <f>+'Enterprise Funds'!X82+'Enterprise Funds'!X83</f>
        <v>0</v>
      </c>
      <c r="Y43" s="178">
        <f>+'Enterprise Funds'!Y82+'Enterprise Funds'!Y83</f>
        <v>0</v>
      </c>
      <c r="Z43" s="178">
        <f>+'Enterprise Funds'!AC82+'Enterprise Funds'!AC83</f>
        <v>0</v>
      </c>
      <c r="AA43" s="178">
        <f>+'Enterprise Funds'!AA82+'Enterprise Funds'!AA83</f>
        <v>0</v>
      </c>
      <c r="AB43" s="178">
        <f>+'Enterprise Funds'!AE82+'Enterprise Funds'!AE83</f>
        <v>0</v>
      </c>
      <c r="AC43" s="190"/>
      <c r="AD43" s="688"/>
      <c r="AE43" s="56"/>
    </row>
    <row r="44" spans="2:32">
      <c r="B44" s="630" t="s">
        <v>194</v>
      </c>
      <c r="C44" s="178">
        <f>+'Enterprise Funds'!C118</f>
        <v>0</v>
      </c>
      <c r="D44" s="178">
        <f>+'Enterprise Funds'!D118</f>
        <v>0</v>
      </c>
      <c r="E44" s="178">
        <f>+'Enterprise Funds'!E118</f>
        <v>0</v>
      </c>
      <c r="F44" s="178">
        <f>+'Enterprise Funds'!F118</f>
        <v>0</v>
      </c>
      <c r="G44" s="178">
        <f>+'Enterprise Funds'!G118</f>
        <v>0</v>
      </c>
      <c r="H44" s="178">
        <f>+'Enterprise Funds'!H118</f>
        <v>0</v>
      </c>
      <c r="I44" s="178">
        <f>+'Enterprise Funds'!I118</f>
        <v>0</v>
      </c>
      <c r="J44" s="178">
        <f>+'Enterprise Funds'!J118</f>
        <v>0</v>
      </c>
      <c r="K44" s="178">
        <f>+'Enterprise Funds'!K118</f>
        <v>0</v>
      </c>
      <c r="L44" s="178">
        <f>+'Enterprise Funds'!L118</f>
        <v>0</v>
      </c>
      <c r="M44" s="178">
        <f>+'Enterprise Funds'!M118</f>
        <v>0</v>
      </c>
      <c r="N44" s="178">
        <f>+'Enterprise Funds'!N118</f>
        <v>0</v>
      </c>
      <c r="O44" s="178">
        <f>+'Enterprise Funds'!O118</f>
        <v>0</v>
      </c>
      <c r="P44" s="178">
        <f>+'Enterprise Funds'!P118</f>
        <v>0</v>
      </c>
      <c r="Q44" s="178">
        <f>+'Enterprise Funds'!Q118</f>
        <v>0</v>
      </c>
      <c r="R44" s="178">
        <f>+'Enterprise Funds'!R118</f>
        <v>0</v>
      </c>
      <c r="S44" s="178">
        <f>+'Enterprise Funds'!S118</f>
        <v>0</v>
      </c>
      <c r="T44" s="178">
        <f>+'Enterprise Funds'!T118</f>
        <v>0</v>
      </c>
      <c r="U44" s="178">
        <f>+'Enterprise Funds'!U118</f>
        <v>0</v>
      </c>
      <c r="V44" s="178">
        <f>+'Enterprise Funds'!V118</f>
        <v>0</v>
      </c>
      <c r="W44" s="178">
        <f>+'Enterprise Funds'!W118</f>
        <v>0</v>
      </c>
      <c r="X44" s="178">
        <f>+'Enterprise Funds'!X118</f>
        <v>0</v>
      </c>
      <c r="Y44" s="178">
        <f>+'Enterprise Funds'!Y118</f>
        <v>0</v>
      </c>
      <c r="Z44" s="178">
        <f>+'Enterprise Funds'!AC118</f>
        <v>0</v>
      </c>
      <c r="AA44" s="178" t="str">
        <f>+'Enterprise Funds'!AD118</f>
        <v/>
      </c>
      <c r="AB44" s="178">
        <f>+'Enterprise Funds'!AE118</f>
        <v>0</v>
      </c>
      <c r="AC44" s="190"/>
      <c r="AD44" s="687" t="s">
        <v>195</v>
      </c>
      <c r="AE44" s="56"/>
      <c r="AF44" s="49" t="s">
        <v>196</v>
      </c>
    </row>
    <row r="45" spans="2:32">
      <c r="B45" s="630" t="s">
        <v>197</v>
      </c>
      <c r="C45" s="178">
        <f>+'Enterprise Funds'!C119</f>
        <v>0</v>
      </c>
      <c r="D45" s="178">
        <f>+'Enterprise Funds'!D119</f>
        <v>0</v>
      </c>
      <c r="E45" s="178">
        <f>+'Enterprise Funds'!E119</f>
        <v>0</v>
      </c>
      <c r="F45" s="178">
        <f>+'Enterprise Funds'!F119</f>
        <v>0</v>
      </c>
      <c r="G45" s="178">
        <f>+'Enterprise Funds'!G119</f>
        <v>0</v>
      </c>
      <c r="H45" s="178">
        <f>+'Enterprise Funds'!H119</f>
        <v>0</v>
      </c>
      <c r="I45" s="178">
        <f>+'Enterprise Funds'!I119</f>
        <v>0</v>
      </c>
      <c r="J45" s="178">
        <f>+'Enterprise Funds'!J119</f>
        <v>0</v>
      </c>
      <c r="K45" s="178">
        <f>+'Enterprise Funds'!K119</f>
        <v>0</v>
      </c>
      <c r="L45" s="178">
        <f>+'Enterprise Funds'!L119</f>
        <v>0</v>
      </c>
      <c r="M45" s="178">
        <f>+'Enterprise Funds'!M119</f>
        <v>0</v>
      </c>
      <c r="N45" s="178">
        <f>+'Enterprise Funds'!N119</f>
        <v>0</v>
      </c>
      <c r="O45" s="178">
        <f>+'Enterprise Funds'!O119</f>
        <v>0</v>
      </c>
      <c r="P45" s="178">
        <f>+'Enterprise Funds'!P119</f>
        <v>0</v>
      </c>
      <c r="Q45" s="178">
        <f>+'Enterprise Funds'!Q119</f>
        <v>0</v>
      </c>
      <c r="R45" s="178">
        <f>+'Enterprise Funds'!R119</f>
        <v>0</v>
      </c>
      <c r="S45" s="178">
        <f>+'Enterprise Funds'!S119</f>
        <v>0</v>
      </c>
      <c r="T45" s="178">
        <f>+'Enterprise Funds'!T119</f>
        <v>0</v>
      </c>
      <c r="U45" s="178">
        <f>+'Enterprise Funds'!U119</f>
        <v>0</v>
      </c>
      <c r="V45" s="178">
        <f>+'Enterprise Funds'!V119</f>
        <v>0</v>
      </c>
      <c r="W45" s="178">
        <f>+'Enterprise Funds'!W119</f>
        <v>0</v>
      </c>
      <c r="X45" s="178">
        <f>+'Enterprise Funds'!X119</f>
        <v>0</v>
      </c>
      <c r="Y45" s="178">
        <f>+'Enterprise Funds'!Y119</f>
        <v>0</v>
      </c>
      <c r="Z45" s="178">
        <f>+'Enterprise Funds'!AC119</f>
        <v>0</v>
      </c>
      <c r="AA45" s="178" t="str">
        <f>+'Enterprise Funds'!AD119</f>
        <v/>
      </c>
      <c r="AB45" s="178">
        <f>+'Enterprise Funds'!AE119</f>
        <v>0</v>
      </c>
      <c r="AC45" s="190"/>
      <c r="AD45" s="682"/>
      <c r="AE45" s="56"/>
    </row>
    <row r="46" spans="2:32">
      <c r="B46" s="630" t="s">
        <v>190</v>
      </c>
      <c r="C46" s="178">
        <f>+'Enterprise Funds'!C120+'Enterprise Funds'!C121</f>
        <v>0</v>
      </c>
      <c r="D46" s="178">
        <f>+'Enterprise Funds'!D120+'Enterprise Funds'!D121</f>
        <v>0</v>
      </c>
      <c r="E46" s="178">
        <f>+'Enterprise Funds'!E120+'Enterprise Funds'!E121</f>
        <v>0</v>
      </c>
      <c r="F46" s="178">
        <f>+'Enterprise Funds'!F120+'Enterprise Funds'!F121</f>
        <v>0</v>
      </c>
      <c r="G46" s="178">
        <f>+'Enterprise Funds'!G120+'Enterprise Funds'!G121</f>
        <v>0</v>
      </c>
      <c r="H46" s="178">
        <f>+'Enterprise Funds'!H120+'Enterprise Funds'!H121</f>
        <v>0</v>
      </c>
      <c r="I46" s="178">
        <f>+'Enterprise Funds'!I120+'Enterprise Funds'!I121</f>
        <v>0</v>
      </c>
      <c r="J46" s="178">
        <f>+'Enterprise Funds'!J120+'Enterprise Funds'!J121</f>
        <v>0</v>
      </c>
      <c r="K46" s="178">
        <f>+'Enterprise Funds'!K120+'Enterprise Funds'!K121</f>
        <v>0</v>
      </c>
      <c r="L46" s="178">
        <f>+'Enterprise Funds'!L120+'Enterprise Funds'!L121</f>
        <v>0</v>
      </c>
      <c r="M46" s="178">
        <f>+'Enterprise Funds'!M120+'Enterprise Funds'!M121</f>
        <v>0</v>
      </c>
      <c r="N46" s="178">
        <f>+'Enterprise Funds'!N120+'Enterprise Funds'!N121</f>
        <v>0</v>
      </c>
      <c r="O46" s="178">
        <f>+'Enterprise Funds'!O120+'Enterprise Funds'!O121</f>
        <v>0</v>
      </c>
      <c r="P46" s="178">
        <f>+'Enterprise Funds'!P120+'Enterprise Funds'!P121</f>
        <v>0</v>
      </c>
      <c r="Q46" s="178">
        <f>+'Enterprise Funds'!Q120+'Enterprise Funds'!Q121</f>
        <v>0</v>
      </c>
      <c r="R46" s="178">
        <f>+'Enterprise Funds'!R120+'Enterprise Funds'!R121</f>
        <v>0</v>
      </c>
      <c r="S46" s="178">
        <f>+'Enterprise Funds'!S120+'Enterprise Funds'!S121</f>
        <v>0</v>
      </c>
      <c r="T46" s="178">
        <f>+'Enterprise Funds'!T120+'Enterprise Funds'!T121</f>
        <v>0</v>
      </c>
      <c r="U46" s="178">
        <f>+'Enterprise Funds'!U120+'Enterprise Funds'!U121</f>
        <v>0</v>
      </c>
      <c r="V46" s="178">
        <f>+'Enterprise Funds'!V120+'Enterprise Funds'!V121</f>
        <v>0</v>
      </c>
      <c r="W46" s="178">
        <f>+'Enterprise Funds'!W120+'Enterprise Funds'!W121</f>
        <v>0</v>
      </c>
      <c r="X46" s="178">
        <f>+'Enterprise Funds'!X120+'Enterprise Funds'!X121</f>
        <v>0</v>
      </c>
      <c r="Y46" s="178">
        <f>+'Enterprise Funds'!Y120+'Enterprise Funds'!Y121</f>
        <v>0</v>
      </c>
      <c r="Z46" s="178">
        <f>+'Enterprise Funds'!AC120+'Enterprise Funds'!AC121</f>
        <v>0</v>
      </c>
      <c r="AA46" s="178">
        <f>+'Enterprise Funds'!AA120+'Enterprise Funds'!AA121</f>
        <v>0</v>
      </c>
      <c r="AB46" s="178">
        <f>+'Enterprise Funds'!AE120+'Enterprise Funds'!AE121</f>
        <v>0</v>
      </c>
      <c r="AC46" s="190"/>
      <c r="AD46" s="688"/>
      <c r="AE46" s="56"/>
    </row>
    <row r="47" spans="2:32">
      <c r="B47" s="630" t="s">
        <v>194</v>
      </c>
      <c r="C47" s="178">
        <f>+'Enterprise Funds'!C153</f>
        <v>0</v>
      </c>
      <c r="D47" s="178">
        <f>+'Enterprise Funds'!D153</f>
        <v>0</v>
      </c>
      <c r="E47" s="178">
        <f>+'Enterprise Funds'!E153</f>
        <v>0</v>
      </c>
      <c r="F47" s="178">
        <f>+'Enterprise Funds'!F153</f>
        <v>0</v>
      </c>
      <c r="G47" s="178">
        <f>+'Enterprise Funds'!G153</f>
        <v>0</v>
      </c>
      <c r="H47" s="178">
        <f>+'Enterprise Funds'!H153</f>
        <v>0</v>
      </c>
      <c r="I47" s="178">
        <f>+'Enterprise Funds'!I153</f>
        <v>0</v>
      </c>
      <c r="J47" s="178">
        <f>+'Enterprise Funds'!J153</f>
        <v>0</v>
      </c>
      <c r="K47" s="178">
        <f>+'Enterprise Funds'!K153</f>
        <v>0</v>
      </c>
      <c r="L47" s="178">
        <f>+'Enterprise Funds'!L153</f>
        <v>0</v>
      </c>
      <c r="M47" s="178">
        <f>+'Enterprise Funds'!M153</f>
        <v>0</v>
      </c>
      <c r="N47" s="178">
        <f>+'Enterprise Funds'!N153</f>
        <v>0</v>
      </c>
      <c r="O47" s="178">
        <f>+'Enterprise Funds'!O153</f>
        <v>0</v>
      </c>
      <c r="P47" s="178">
        <f>+'Enterprise Funds'!P153</f>
        <v>0</v>
      </c>
      <c r="Q47" s="178">
        <f>+'Enterprise Funds'!Q153</f>
        <v>0</v>
      </c>
      <c r="R47" s="178">
        <f>+'Enterprise Funds'!R153</f>
        <v>0</v>
      </c>
      <c r="S47" s="178">
        <f>+'Enterprise Funds'!S153</f>
        <v>0</v>
      </c>
      <c r="T47" s="178">
        <f>+'Enterprise Funds'!T153</f>
        <v>0</v>
      </c>
      <c r="U47" s="178">
        <f>+'Enterprise Funds'!U153</f>
        <v>0</v>
      </c>
      <c r="V47" s="178">
        <f>+'Enterprise Funds'!V153</f>
        <v>0</v>
      </c>
      <c r="W47" s="178">
        <f>+'Enterprise Funds'!W153</f>
        <v>0</v>
      </c>
      <c r="X47" s="178">
        <f>+'Enterprise Funds'!X153</f>
        <v>0</v>
      </c>
      <c r="Y47" s="178">
        <f>+'Enterprise Funds'!Y153</f>
        <v>0</v>
      </c>
      <c r="Z47" s="178">
        <f>+'Enterprise Funds'!AC153</f>
        <v>0</v>
      </c>
      <c r="AA47" s="178" t="str">
        <f>+'Enterprise Funds'!AD153</f>
        <v/>
      </c>
      <c r="AB47" s="178">
        <f>+'Enterprise Funds'!AE153</f>
        <v>0</v>
      </c>
      <c r="AC47" s="190"/>
      <c r="AD47" s="687" t="s">
        <v>195</v>
      </c>
      <c r="AE47" s="56"/>
      <c r="AF47" s="49" t="s">
        <v>196</v>
      </c>
    </row>
    <row r="48" spans="2:32">
      <c r="B48" s="630" t="s">
        <v>197</v>
      </c>
      <c r="C48" s="178">
        <f>+'Enterprise Funds'!C154</f>
        <v>0</v>
      </c>
      <c r="D48" s="178">
        <f>+'Enterprise Funds'!D154</f>
        <v>0</v>
      </c>
      <c r="E48" s="178">
        <f>+'Enterprise Funds'!E154</f>
        <v>0</v>
      </c>
      <c r="F48" s="178">
        <f>+'Enterprise Funds'!F154</f>
        <v>0</v>
      </c>
      <c r="G48" s="178">
        <f>+'Enterprise Funds'!G154</f>
        <v>0</v>
      </c>
      <c r="H48" s="178">
        <f>+'Enterprise Funds'!H154</f>
        <v>0</v>
      </c>
      <c r="I48" s="178">
        <f>+'Enterprise Funds'!I154</f>
        <v>0</v>
      </c>
      <c r="J48" s="178">
        <f>+'Enterprise Funds'!J154</f>
        <v>0</v>
      </c>
      <c r="K48" s="178">
        <f>+'Enterprise Funds'!K154</f>
        <v>0</v>
      </c>
      <c r="L48" s="178">
        <f>+'Enterprise Funds'!L154</f>
        <v>0</v>
      </c>
      <c r="M48" s="178">
        <f>+'Enterprise Funds'!M154</f>
        <v>0</v>
      </c>
      <c r="N48" s="178">
        <f>+'Enterprise Funds'!N154</f>
        <v>0</v>
      </c>
      <c r="O48" s="178">
        <f>+'Enterprise Funds'!O154</f>
        <v>0</v>
      </c>
      <c r="P48" s="178">
        <f>+'Enterprise Funds'!P154</f>
        <v>0</v>
      </c>
      <c r="Q48" s="178">
        <f>+'Enterprise Funds'!Q154</f>
        <v>0</v>
      </c>
      <c r="R48" s="178">
        <f>+'Enterprise Funds'!R154</f>
        <v>0</v>
      </c>
      <c r="S48" s="178">
        <f>+'Enterprise Funds'!S154</f>
        <v>0</v>
      </c>
      <c r="T48" s="178">
        <f>+'Enterprise Funds'!T154</f>
        <v>0</v>
      </c>
      <c r="U48" s="178">
        <f>+'Enterprise Funds'!U154</f>
        <v>0</v>
      </c>
      <c r="V48" s="178">
        <f>+'Enterprise Funds'!V154</f>
        <v>0</v>
      </c>
      <c r="W48" s="178">
        <f>+'Enterprise Funds'!W154</f>
        <v>0</v>
      </c>
      <c r="X48" s="178">
        <f>+'Enterprise Funds'!X154</f>
        <v>0</v>
      </c>
      <c r="Y48" s="178">
        <f>+'Enterprise Funds'!Y154</f>
        <v>0</v>
      </c>
      <c r="Z48" s="178">
        <f>+'Enterprise Funds'!AC154</f>
        <v>0</v>
      </c>
      <c r="AA48" s="178" t="str">
        <f>+'Enterprise Funds'!AD154</f>
        <v/>
      </c>
      <c r="AB48" s="178">
        <f>+'Enterprise Funds'!AE154</f>
        <v>0</v>
      </c>
      <c r="AC48" s="190"/>
      <c r="AD48" s="682"/>
      <c r="AE48" s="56"/>
    </row>
    <row r="49" spans="1:32">
      <c r="B49" s="630" t="s">
        <v>190</v>
      </c>
      <c r="C49" s="178">
        <f>+'Enterprise Funds'!C155+'Enterprise Funds'!C156</f>
        <v>0</v>
      </c>
      <c r="D49" s="178">
        <f>+'Enterprise Funds'!D155+'Enterprise Funds'!D156</f>
        <v>0</v>
      </c>
      <c r="E49" s="178">
        <f>+'Enterprise Funds'!E155+'Enterprise Funds'!E156</f>
        <v>0</v>
      </c>
      <c r="F49" s="178">
        <f>+'Enterprise Funds'!F155+'Enterprise Funds'!F156</f>
        <v>0</v>
      </c>
      <c r="G49" s="178">
        <f>+'Enterprise Funds'!G155+'Enterprise Funds'!G156</f>
        <v>0</v>
      </c>
      <c r="H49" s="178">
        <f>+'Enterprise Funds'!H155+'Enterprise Funds'!H156</f>
        <v>0</v>
      </c>
      <c r="I49" s="178">
        <f>+'Enterprise Funds'!I155+'Enterprise Funds'!I156</f>
        <v>0</v>
      </c>
      <c r="J49" s="178">
        <f>+'Enterprise Funds'!J155+'Enterprise Funds'!J156</f>
        <v>0</v>
      </c>
      <c r="K49" s="178">
        <f>+'Enterprise Funds'!K155+'Enterprise Funds'!K156</f>
        <v>0</v>
      </c>
      <c r="L49" s="178">
        <f>+'Enterprise Funds'!L155+'Enterprise Funds'!L156</f>
        <v>0</v>
      </c>
      <c r="M49" s="178">
        <f>+'Enterprise Funds'!M155+'Enterprise Funds'!M156</f>
        <v>0</v>
      </c>
      <c r="N49" s="178">
        <f>+'Enterprise Funds'!N155+'Enterprise Funds'!N156</f>
        <v>0</v>
      </c>
      <c r="O49" s="178">
        <f>+'Enterprise Funds'!O155+'Enterprise Funds'!O156</f>
        <v>0</v>
      </c>
      <c r="P49" s="178">
        <f>+'Enterprise Funds'!P155+'Enterprise Funds'!P156</f>
        <v>0</v>
      </c>
      <c r="Q49" s="178">
        <f>+'Enterprise Funds'!Q155+'Enterprise Funds'!Q156</f>
        <v>0</v>
      </c>
      <c r="R49" s="178">
        <f>+'Enterprise Funds'!R155+'Enterprise Funds'!R156</f>
        <v>0</v>
      </c>
      <c r="S49" s="178">
        <f>+'Enterprise Funds'!S155+'Enterprise Funds'!S156</f>
        <v>0</v>
      </c>
      <c r="T49" s="178">
        <f>+'Enterprise Funds'!T155+'Enterprise Funds'!T156</f>
        <v>0</v>
      </c>
      <c r="U49" s="178">
        <f>+'Enterprise Funds'!U155+'Enterprise Funds'!U156</f>
        <v>0</v>
      </c>
      <c r="V49" s="178">
        <f>+'Enterprise Funds'!V155+'Enterprise Funds'!V156</f>
        <v>0</v>
      </c>
      <c r="W49" s="178">
        <f>+'Enterprise Funds'!W155+'Enterprise Funds'!W156</f>
        <v>0</v>
      </c>
      <c r="X49" s="178">
        <f>+'Enterprise Funds'!X155+'Enterprise Funds'!X156</f>
        <v>0</v>
      </c>
      <c r="Y49" s="178">
        <f>+'Enterprise Funds'!Y155+'Enterprise Funds'!Y156</f>
        <v>0</v>
      </c>
      <c r="Z49" s="178">
        <f>+'Enterprise Funds'!AC155+'Enterprise Funds'!AC156</f>
        <v>0</v>
      </c>
      <c r="AA49" s="178">
        <f>+'Enterprise Funds'!AA155+'Enterprise Funds'!AA156</f>
        <v>0</v>
      </c>
      <c r="AB49" s="178">
        <f>+'Enterprise Funds'!AE155+'Enterprise Funds'!AE156</f>
        <v>0</v>
      </c>
      <c r="AC49" s="190"/>
      <c r="AD49" s="688"/>
      <c r="AE49" s="56"/>
    </row>
    <row r="50" spans="1:32" ht="12.75" thickBot="1">
      <c r="B50" s="66" t="s">
        <v>198</v>
      </c>
      <c r="C50" s="326">
        <f>SUM(C35:C49)</f>
        <v>0</v>
      </c>
      <c r="D50" s="326">
        <f t="shared" ref="D50:W50" si="30">SUM(D35:D49)</f>
        <v>0</v>
      </c>
      <c r="E50" s="326">
        <f t="shared" si="30"/>
        <v>0</v>
      </c>
      <c r="F50" s="326">
        <f t="shared" si="30"/>
        <v>0</v>
      </c>
      <c r="G50" s="326">
        <f t="shared" si="30"/>
        <v>0</v>
      </c>
      <c r="H50" s="326">
        <f t="shared" si="30"/>
        <v>0</v>
      </c>
      <c r="I50" s="326">
        <f t="shared" si="30"/>
        <v>0</v>
      </c>
      <c r="J50" s="326">
        <f t="shared" si="30"/>
        <v>0</v>
      </c>
      <c r="K50" s="326">
        <f t="shared" si="30"/>
        <v>0</v>
      </c>
      <c r="L50" s="326">
        <f t="shared" si="30"/>
        <v>0</v>
      </c>
      <c r="M50" s="326">
        <f t="shared" si="30"/>
        <v>0</v>
      </c>
      <c r="N50" s="326">
        <f t="shared" si="30"/>
        <v>0</v>
      </c>
      <c r="O50" s="326">
        <f t="shared" si="30"/>
        <v>0</v>
      </c>
      <c r="P50" s="326">
        <f t="shared" si="30"/>
        <v>0</v>
      </c>
      <c r="Q50" s="326">
        <f t="shared" si="30"/>
        <v>0</v>
      </c>
      <c r="R50" s="326">
        <f t="shared" si="30"/>
        <v>0</v>
      </c>
      <c r="S50" s="326">
        <f t="shared" si="30"/>
        <v>0</v>
      </c>
      <c r="T50" s="326">
        <f t="shared" si="30"/>
        <v>0</v>
      </c>
      <c r="U50" s="326">
        <f t="shared" si="30"/>
        <v>0</v>
      </c>
      <c r="V50" s="326">
        <f t="shared" si="30"/>
        <v>0</v>
      </c>
      <c r="W50" s="326">
        <f t="shared" si="30"/>
        <v>0</v>
      </c>
      <c r="X50" s="326">
        <f t="shared" ref="X50:Y50" si="31">SUM(X35:X49)</f>
        <v>0</v>
      </c>
      <c r="Y50" s="326">
        <f t="shared" si="31"/>
        <v>0</v>
      </c>
      <c r="Z50" s="326">
        <f t="shared" ref="Z50:AB50" si="32">SUM(Z35:Z49)</f>
        <v>0</v>
      </c>
      <c r="AA50" s="326">
        <f t="shared" si="32"/>
        <v>0</v>
      </c>
      <c r="AB50" s="326">
        <f t="shared" si="32"/>
        <v>0</v>
      </c>
      <c r="AC50" s="732"/>
      <c r="AD50" s="682"/>
      <c r="AF50" s="49" t="s">
        <v>171</v>
      </c>
    </row>
    <row r="51" spans="1:32" ht="12.75" thickTop="1">
      <c r="B51" s="57"/>
      <c r="C51" s="20"/>
      <c r="D51" s="20"/>
      <c r="E51" s="20"/>
      <c r="F51" s="208"/>
      <c r="G51" s="208"/>
      <c r="H51" s="208"/>
      <c r="I51" s="208"/>
      <c r="J51" s="208"/>
      <c r="K51" s="208"/>
      <c r="L51" s="208"/>
      <c r="M51" s="208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729"/>
      <c r="AD51" s="682"/>
    </row>
    <row r="52" spans="1:32">
      <c r="B52" s="64" t="s">
        <v>199</v>
      </c>
      <c r="C52" s="318"/>
      <c r="D52" s="318"/>
      <c r="E52" s="318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733"/>
      <c r="AD52" s="682"/>
    </row>
    <row r="53" spans="1:32">
      <c r="B53" s="630" t="s">
        <v>200</v>
      </c>
      <c r="C53" s="178">
        <f>CPF!C7</f>
        <v>0</v>
      </c>
      <c r="D53" s="178">
        <f>CPF!D7</f>
        <v>0</v>
      </c>
      <c r="E53" s="178">
        <f>CPF!E7</f>
        <v>0</v>
      </c>
      <c r="F53" s="178">
        <f>CPF!F7</f>
        <v>0</v>
      </c>
      <c r="G53" s="178">
        <f>CPF!G7</f>
        <v>0</v>
      </c>
      <c r="H53" s="178">
        <f>CPF!H7</f>
        <v>0</v>
      </c>
      <c r="I53" s="178">
        <f>CPF!I7</f>
        <v>0</v>
      </c>
      <c r="J53" s="178">
        <f>CPF!J7</f>
        <v>0</v>
      </c>
      <c r="K53" s="178">
        <f>CPF!K7</f>
        <v>0</v>
      </c>
      <c r="L53" s="178">
        <f>CPF!L7</f>
        <v>0</v>
      </c>
      <c r="M53" s="178">
        <f>CPF!M7</f>
        <v>0</v>
      </c>
      <c r="N53" s="178">
        <f>CPF!N7</f>
        <v>0</v>
      </c>
      <c r="O53" s="178">
        <f>CPF!O7</f>
        <v>0</v>
      </c>
      <c r="P53" s="178">
        <f>CPF!P7</f>
        <v>0</v>
      </c>
      <c r="Q53" s="178">
        <f>CPF!Q7</f>
        <v>0</v>
      </c>
      <c r="R53" s="178">
        <f>CPF!R7</f>
        <v>0</v>
      </c>
      <c r="S53" s="178">
        <f>CPF!S7</f>
        <v>0</v>
      </c>
      <c r="T53" s="178">
        <f>CPF!T7</f>
        <v>0</v>
      </c>
      <c r="U53" s="178">
        <f>CPF!U7</f>
        <v>0</v>
      </c>
      <c r="V53" s="178">
        <f>CPF!V7</f>
        <v>0</v>
      </c>
      <c r="W53" s="178">
        <f>CPF!W7</f>
        <v>0</v>
      </c>
      <c r="X53" s="178">
        <f>CPF!X7</f>
        <v>0</v>
      </c>
      <c r="Y53" s="178">
        <f>CPF!Y7</f>
        <v>0</v>
      </c>
      <c r="Z53" s="178">
        <f>CPF!AA7</f>
        <v>0</v>
      </c>
      <c r="AA53" s="178" t="str">
        <f>CPF!AD7</f>
        <v/>
      </c>
      <c r="AB53" s="178">
        <f>CPF!AE7</f>
        <v>0</v>
      </c>
      <c r="AC53" s="190"/>
      <c r="AD53" s="780" t="s">
        <v>201</v>
      </c>
      <c r="AE53" s="56"/>
      <c r="AF53" s="49" t="s">
        <v>202</v>
      </c>
    </row>
    <row r="54" spans="1:32">
      <c r="B54" s="630" t="s">
        <v>203</v>
      </c>
      <c r="C54" s="178">
        <f>CPF!C8</f>
        <v>0</v>
      </c>
      <c r="D54" s="178">
        <f>CPF!D8</f>
        <v>0</v>
      </c>
      <c r="E54" s="178">
        <f>CPF!E8</f>
        <v>0</v>
      </c>
      <c r="F54" s="178">
        <f>CPF!F8</f>
        <v>0</v>
      </c>
      <c r="G54" s="178">
        <f>CPF!G8</f>
        <v>0</v>
      </c>
      <c r="H54" s="178">
        <f>CPF!H8</f>
        <v>0</v>
      </c>
      <c r="I54" s="178">
        <f>CPF!I8</f>
        <v>0</v>
      </c>
      <c r="J54" s="178">
        <f>CPF!J8</f>
        <v>0</v>
      </c>
      <c r="K54" s="178">
        <f>CPF!K8</f>
        <v>0</v>
      </c>
      <c r="L54" s="178">
        <f>CPF!L8</f>
        <v>0</v>
      </c>
      <c r="M54" s="178">
        <f>CPF!M8</f>
        <v>0</v>
      </c>
      <c r="N54" s="178">
        <f>CPF!N8</f>
        <v>0</v>
      </c>
      <c r="O54" s="178">
        <f>CPF!O8</f>
        <v>0</v>
      </c>
      <c r="P54" s="178">
        <f>CPF!P8</f>
        <v>0</v>
      </c>
      <c r="Q54" s="178">
        <f>CPF!Q8</f>
        <v>0</v>
      </c>
      <c r="R54" s="178">
        <f>CPF!R8</f>
        <v>0</v>
      </c>
      <c r="S54" s="178">
        <f>CPF!S8</f>
        <v>0</v>
      </c>
      <c r="T54" s="178">
        <f>CPF!T8</f>
        <v>0</v>
      </c>
      <c r="U54" s="178">
        <f>CPF!U8</f>
        <v>0</v>
      </c>
      <c r="V54" s="178">
        <f>CPF!V8</f>
        <v>0</v>
      </c>
      <c r="W54" s="178">
        <f>CPF!W8</f>
        <v>0</v>
      </c>
      <c r="X54" s="178">
        <f>CPF!X8</f>
        <v>0</v>
      </c>
      <c r="Y54" s="178">
        <f>CPF!Y8</f>
        <v>0</v>
      </c>
      <c r="Z54" s="178">
        <f>CPF!AA8</f>
        <v>0</v>
      </c>
      <c r="AA54" s="178" t="str">
        <f>CPF!AD8</f>
        <v/>
      </c>
      <c r="AB54" s="178">
        <f>CPF!AE8</f>
        <v>0</v>
      </c>
      <c r="AC54" s="190"/>
      <c r="AD54" s="688"/>
      <c r="AE54" s="56"/>
    </row>
    <row r="55" spans="1:32">
      <c r="B55" s="630" t="s">
        <v>190</v>
      </c>
      <c r="C55" s="178">
        <f>CPF!C9+CPF!C11+CPF!C12</f>
        <v>0</v>
      </c>
      <c r="D55" s="178">
        <f>CPF!D9+CPF!D11+CPF!D12</f>
        <v>0</v>
      </c>
      <c r="E55" s="178">
        <f>CPF!E9+CPF!E11+CPF!E12</f>
        <v>0</v>
      </c>
      <c r="F55" s="178">
        <f>CPF!F9+CPF!F11+CPF!F12</f>
        <v>0</v>
      </c>
      <c r="G55" s="178">
        <f>CPF!G9+CPF!G11+CPF!G12</f>
        <v>0</v>
      </c>
      <c r="H55" s="178">
        <f>CPF!H9+CPF!H11+CPF!H12</f>
        <v>0</v>
      </c>
      <c r="I55" s="178">
        <f>CPF!I9+CPF!I11+CPF!I12</f>
        <v>0</v>
      </c>
      <c r="J55" s="178">
        <f>CPF!J9+CPF!J11+CPF!J12</f>
        <v>0</v>
      </c>
      <c r="K55" s="178">
        <f>CPF!K9+CPF!K11+CPF!K12</f>
        <v>0</v>
      </c>
      <c r="L55" s="178">
        <f>CPF!L9+CPF!L11+CPF!L12</f>
        <v>0</v>
      </c>
      <c r="M55" s="178">
        <f>CPF!M9+CPF!M11+CPF!M12</f>
        <v>0</v>
      </c>
      <c r="N55" s="178">
        <f>CPF!N9+CPF!N11+CPF!N12</f>
        <v>0</v>
      </c>
      <c r="O55" s="178">
        <f>CPF!O9+CPF!O11+CPF!O12</f>
        <v>0</v>
      </c>
      <c r="P55" s="178">
        <f>CPF!P9+CPF!P11+CPF!P12</f>
        <v>0</v>
      </c>
      <c r="Q55" s="178">
        <f>CPF!Q9+CPF!Q11+CPF!Q12</f>
        <v>0</v>
      </c>
      <c r="R55" s="178">
        <f>CPF!R9+CPF!R11+CPF!R12</f>
        <v>0</v>
      </c>
      <c r="S55" s="178">
        <f>CPF!S9+CPF!S11+CPF!S12</f>
        <v>0</v>
      </c>
      <c r="T55" s="178">
        <f>CPF!T9+CPF!T11+CPF!T12</f>
        <v>0</v>
      </c>
      <c r="U55" s="178">
        <f>CPF!U9+CPF!U11+CPF!U12</f>
        <v>0</v>
      </c>
      <c r="V55" s="178">
        <f>CPF!V9+CPF!V11+CPF!V12</f>
        <v>0</v>
      </c>
      <c r="W55" s="178">
        <f>CPF!W9+CPF!W11+CPF!W12</f>
        <v>0</v>
      </c>
      <c r="X55" s="178">
        <f>CPF!X9+CPF!X11+CPF!X12</f>
        <v>0</v>
      </c>
      <c r="Y55" s="178">
        <f>CPF!Y9+CPF!Y11+CPF!Y12</f>
        <v>0</v>
      </c>
      <c r="Z55" s="178">
        <f>CPF!AA9+CPF!AA11+CPF!AA12</f>
        <v>0</v>
      </c>
      <c r="AA55" s="971">
        <f>CPF!AA9+CPF!AA11+CPF!AA12</f>
        <v>0</v>
      </c>
      <c r="AB55" s="178">
        <f>CPF!AE9+CPF!AE11+CPF!AE12</f>
        <v>0</v>
      </c>
      <c r="AC55" s="190"/>
      <c r="AD55" s="688"/>
      <c r="AE55" s="56"/>
    </row>
    <row r="56" spans="1:32" ht="12.75" thickBot="1">
      <c r="B56" s="66" t="s">
        <v>204</v>
      </c>
      <c r="C56" s="701">
        <f>SUM(C53:C55)</f>
        <v>0</v>
      </c>
      <c r="D56" s="701">
        <f t="shared" ref="D56:V56" si="33">SUM(D53:D55)</f>
        <v>0</v>
      </c>
      <c r="E56" s="701">
        <f t="shared" si="33"/>
        <v>0</v>
      </c>
      <c r="F56" s="701">
        <f t="shared" si="33"/>
        <v>0</v>
      </c>
      <c r="G56" s="701">
        <f t="shared" si="33"/>
        <v>0</v>
      </c>
      <c r="H56" s="701">
        <f t="shared" si="33"/>
        <v>0</v>
      </c>
      <c r="I56" s="701">
        <f t="shared" si="33"/>
        <v>0</v>
      </c>
      <c r="J56" s="701">
        <f t="shared" si="33"/>
        <v>0</v>
      </c>
      <c r="K56" s="701">
        <f t="shared" si="33"/>
        <v>0</v>
      </c>
      <c r="L56" s="701">
        <f t="shared" si="33"/>
        <v>0</v>
      </c>
      <c r="M56" s="701">
        <f t="shared" si="33"/>
        <v>0</v>
      </c>
      <c r="N56" s="701">
        <f t="shared" si="33"/>
        <v>0</v>
      </c>
      <c r="O56" s="701">
        <f t="shared" si="33"/>
        <v>0</v>
      </c>
      <c r="P56" s="326">
        <f t="shared" si="33"/>
        <v>0</v>
      </c>
      <c r="Q56" s="326">
        <f t="shared" si="33"/>
        <v>0</v>
      </c>
      <c r="R56" s="326">
        <f t="shared" si="33"/>
        <v>0</v>
      </c>
      <c r="S56" s="326">
        <f t="shared" si="33"/>
        <v>0</v>
      </c>
      <c r="T56" s="326">
        <f t="shared" si="33"/>
        <v>0</v>
      </c>
      <c r="U56" s="326">
        <f t="shared" si="33"/>
        <v>0</v>
      </c>
      <c r="V56" s="326">
        <f t="shared" si="33"/>
        <v>0</v>
      </c>
      <c r="W56" s="326">
        <f t="shared" ref="W56:X56" si="34">SUM(W53:W55)</f>
        <v>0</v>
      </c>
      <c r="X56" s="326">
        <f t="shared" si="34"/>
        <v>0</v>
      </c>
      <c r="Y56" s="326">
        <f t="shared" ref="Y56:Z56" si="35">SUM(Y53:Y55)</f>
        <v>0</v>
      </c>
      <c r="Z56" s="326">
        <f t="shared" si="35"/>
        <v>0</v>
      </c>
      <c r="AA56" s="326">
        <f t="shared" ref="AA56:AB56" si="36">SUM(AA53:AA55)</f>
        <v>0</v>
      </c>
      <c r="AB56" s="326">
        <f t="shared" si="36"/>
        <v>0</v>
      </c>
      <c r="AC56" s="732"/>
      <c r="AD56" s="682"/>
      <c r="AF56" s="49" t="s">
        <v>171</v>
      </c>
    </row>
    <row r="57" spans="1:32" ht="12.75" thickTop="1">
      <c r="B57" s="57"/>
      <c r="C57" s="20"/>
      <c r="D57" s="20"/>
      <c r="E57" s="20"/>
      <c r="F57" s="208"/>
      <c r="G57" s="208"/>
      <c r="H57" s="208"/>
      <c r="I57" s="208"/>
      <c r="J57" s="208"/>
      <c r="K57" s="208"/>
      <c r="L57" s="208"/>
      <c r="M57" s="208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729"/>
      <c r="AD57" s="682"/>
    </row>
    <row r="58" spans="1:32" ht="12.75" thickBot="1">
      <c r="B58" s="66" t="s">
        <v>205</v>
      </c>
      <c r="C58" s="320">
        <f>ROUND(C32+C50+C56,2)</f>
        <v>6542878</v>
      </c>
      <c r="D58" s="320">
        <f t="shared" ref="D58:Y58" si="37">ROUND(D32+D50+D56,2)</f>
        <v>6809728.96</v>
      </c>
      <c r="E58" s="320">
        <f t="shared" si="37"/>
        <v>6579471.1699999999</v>
      </c>
      <c r="F58" s="320">
        <f t="shared" si="37"/>
        <v>7263524</v>
      </c>
      <c r="G58" s="320">
        <f t="shared" si="37"/>
        <v>14505323</v>
      </c>
      <c r="H58" s="320">
        <f t="shared" si="37"/>
        <v>15695796</v>
      </c>
      <c r="I58" s="320">
        <f t="shared" si="37"/>
        <v>14279949</v>
      </c>
      <c r="J58" s="320">
        <f t="shared" si="37"/>
        <v>14424027</v>
      </c>
      <c r="K58" s="320">
        <f t="shared" si="37"/>
        <v>15141278</v>
      </c>
      <c r="L58" s="320">
        <f t="shared" si="37"/>
        <v>15986138</v>
      </c>
      <c r="M58" s="320">
        <f t="shared" si="37"/>
        <v>16979344</v>
      </c>
      <c r="N58" s="320">
        <f t="shared" si="37"/>
        <v>18657453</v>
      </c>
      <c r="O58" s="320">
        <f t="shared" si="37"/>
        <v>19118889</v>
      </c>
      <c r="P58" s="320">
        <f t="shared" si="37"/>
        <v>20337614</v>
      </c>
      <c r="Q58" s="320">
        <f t="shared" si="37"/>
        <v>21004379</v>
      </c>
      <c r="R58" s="320">
        <f t="shared" si="37"/>
        <v>23760251</v>
      </c>
      <c r="S58" s="320">
        <f t="shared" si="37"/>
        <v>24015395</v>
      </c>
      <c r="T58" s="320">
        <f t="shared" si="37"/>
        <v>25979016</v>
      </c>
      <c r="U58" s="320">
        <f t="shared" si="37"/>
        <v>27239208.859999999</v>
      </c>
      <c r="V58" s="320">
        <f t="shared" si="37"/>
        <v>28027689.879999999</v>
      </c>
      <c r="W58" s="320">
        <f t="shared" si="37"/>
        <v>30108785.649999999</v>
      </c>
      <c r="X58" s="320">
        <f t="shared" si="37"/>
        <v>36910436.270000003</v>
      </c>
      <c r="Y58" s="320">
        <f t="shared" si="37"/>
        <v>38658294.100000001</v>
      </c>
      <c r="Z58" s="320">
        <f t="shared" ref="Z58:AB58" si="38">ROUND(Z32+Z50+Z56,2)</f>
        <v>39669642.829999998</v>
      </c>
      <c r="AA58" s="320">
        <f t="shared" si="38"/>
        <v>40682264.670000002</v>
      </c>
      <c r="AB58" s="320">
        <f t="shared" si="38"/>
        <v>41724908.240000002</v>
      </c>
      <c r="AC58" s="190"/>
      <c r="AD58" s="689"/>
      <c r="AF58" s="49" t="s">
        <v>171</v>
      </c>
    </row>
    <row r="59" spans="1:32" s="68" customFormat="1" ht="12.75" thickTop="1">
      <c r="A59" s="215"/>
      <c r="B59" s="67" t="s">
        <v>206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734"/>
      <c r="AD59" s="690"/>
    </row>
    <row r="60" spans="1:32">
      <c r="A60" s="377" t="s">
        <v>142</v>
      </c>
      <c r="B60" s="879" t="s">
        <v>207</v>
      </c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>
        <v>0</v>
      </c>
      <c r="P60" s="601"/>
      <c r="Q60" s="601"/>
      <c r="R60" s="601">
        <v>24463842.93</v>
      </c>
      <c r="S60" s="601">
        <v>25857803.109999999</v>
      </c>
      <c r="T60" s="601">
        <v>26093752.5</v>
      </c>
      <c r="U60" s="601">
        <v>28198414.859999999</v>
      </c>
      <c r="V60" s="601">
        <v>28237407.879999999</v>
      </c>
      <c r="W60" s="601"/>
      <c r="X60" s="601"/>
      <c r="Y60" s="601"/>
      <c r="Z60" s="601"/>
      <c r="AA60" s="601"/>
      <c r="AB60" s="601"/>
      <c r="AC60" s="729"/>
      <c r="AD60" s="681"/>
      <c r="AF60" s="49" t="s">
        <v>208</v>
      </c>
    </row>
    <row r="61" spans="1:32">
      <c r="B61" s="879" t="s">
        <v>209</v>
      </c>
      <c r="C61" s="167">
        <f>IF(C60&gt;0,C60-C58,0)</f>
        <v>0</v>
      </c>
      <c r="D61" s="167">
        <f t="shared" ref="D61:V61" si="39">IF(D60&gt;0,D60-D58,0)</f>
        <v>0</v>
      </c>
      <c r="E61" s="167">
        <f t="shared" si="39"/>
        <v>0</v>
      </c>
      <c r="F61" s="167">
        <f t="shared" si="39"/>
        <v>0</v>
      </c>
      <c r="G61" s="167">
        <f t="shared" si="39"/>
        <v>0</v>
      </c>
      <c r="H61" s="167">
        <f t="shared" si="39"/>
        <v>0</v>
      </c>
      <c r="I61" s="167">
        <f t="shared" si="39"/>
        <v>0</v>
      </c>
      <c r="J61" s="167">
        <f t="shared" si="39"/>
        <v>0</v>
      </c>
      <c r="K61" s="167">
        <f t="shared" si="39"/>
        <v>0</v>
      </c>
      <c r="L61" s="167">
        <f t="shared" si="39"/>
        <v>0</v>
      </c>
      <c r="M61" s="167">
        <f t="shared" si="39"/>
        <v>0</v>
      </c>
      <c r="N61" s="167">
        <f t="shared" si="39"/>
        <v>0</v>
      </c>
      <c r="O61" s="167">
        <f t="shared" si="39"/>
        <v>0</v>
      </c>
      <c r="P61" s="167">
        <f t="shared" si="39"/>
        <v>0</v>
      </c>
      <c r="Q61" s="167">
        <f t="shared" si="39"/>
        <v>0</v>
      </c>
      <c r="R61" s="167">
        <f t="shared" si="39"/>
        <v>703591.9299999997</v>
      </c>
      <c r="S61" s="167">
        <f t="shared" si="39"/>
        <v>1842408.1099999994</v>
      </c>
      <c r="T61" s="167">
        <f t="shared" si="39"/>
        <v>114736.5</v>
      </c>
      <c r="U61" s="167">
        <f t="shared" si="39"/>
        <v>959206</v>
      </c>
      <c r="V61" s="167">
        <f t="shared" si="39"/>
        <v>209718</v>
      </c>
      <c r="W61" s="167">
        <f t="shared" ref="W61:X61" si="40">IF(W60&gt;0,W60-W58,0)</f>
        <v>0</v>
      </c>
      <c r="X61" s="167">
        <f t="shared" si="40"/>
        <v>0</v>
      </c>
      <c r="Y61" s="167">
        <f t="shared" ref="Y61:Z61" si="41">IF(Y60&gt;0,Y60-Y58,0)</f>
        <v>0</v>
      </c>
      <c r="Z61" s="167">
        <f t="shared" si="41"/>
        <v>0</v>
      </c>
      <c r="AA61" s="167">
        <f t="shared" ref="AA61:AB61" si="42">IF(AA60&gt;0,AA60-AA58,0)</f>
        <v>0</v>
      </c>
      <c r="AB61" s="167">
        <f t="shared" si="42"/>
        <v>0</v>
      </c>
      <c r="AC61" s="20"/>
      <c r="AF61" s="49" t="s">
        <v>171</v>
      </c>
    </row>
    <row r="63" spans="1:32">
      <c r="A63" s="377" t="s">
        <v>142</v>
      </c>
      <c r="B63" s="71" t="s">
        <v>210</v>
      </c>
    </row>
  </sheetData>
  <phoneticPr fontId="40" type="noConversion"/>
  <hyperlinks>
    <hyperlink ref="AD35" location="'Enterprise Funds'!A1" display="See Enterprise Funds" xr:uid="{00000000-0004-0000-0300-000001000000}"/>
    <hyperlink ref="AD29" location="'Available Funds'!A1" display="Available Funds" xr:uid="{00000000-0004-0000-0300-000003000000}"/>
    <hyperlink ref="AD30" location="'Available Funds'!A1" display="Available Funds" xr:uid="{00000000-0004-0000-0300-000004000000}"/>
    <hyperlink ref="AD53" location="CPF!A1" display="See CPF" xr:uid="{00000000-0004-0000-0300-000005000000}"/>
    <hyperlink ref="AD7" location="Levy!A1" display="See Levy" xr:uid="{996C721B-341B-4054-AD1A-37DC4348B331}"/>
    <hyperlink ref="AD24" location="'Local Receipts'!A1" display="See Local Receipts" xr:uid="{AE75CCFF-750C-4DC1-8CE9-90106E07FA28}"/>
    <hyperlink ref="AD25" location="'Offset Receipts'!A1" display="See Offset Receipts" xr:uid="{D2822360-6330-4A3A-823C-636F9B24E52F}"/>
    <hyperlink ref="AD38" location="'Enterprise Funds'!A1" display="See Enterprise Funds" xr:uid="{036AB94A-514D-45CD-A690-A21F71816F98}"/>
    <hyperlink ref="AD16" location="'State Aid'!A1" display="See State Aid" xr:uid="{ED764ED0-AB3B-4AF6-9DB7-54C249D74767}"/>
    <hyperlink ref="AD41" location="'Enterprise Funds'!A1" display="See Enterprise Funds" xr:uid="{38690802-1915-4B6A-AAE5-63306347A0D2}"/>
    <hyperlink ref="AD44" location="'Enterprise Funds'!A1" display="See Enterprise Funds" xr:uid="{58C57C2C-C668-48AC-97A9-4DA2171A5E8C}"/>
    <hyperlink ref="AD47" location="'Enterprise Funds'!A1" display="See Enterprise Funds" xr:uid="{1EFABD93-B038-4EA2-869A-2945309811CF}"/>
  </hyperlinks>
  <pageMargins left="0.25" right="0.25" top="0.5" bottom="0.5" header="0.3" footer="0.3"/>
  <pageSetup scale="82" fitToHeight="2" orientation="landscape" r:id="rId1"/>
  <headerFooter>
    <oddFooter>&amp;L&amp;9&amp;A&amp;C&amp;10page &amp;P of &amp;N&amp;R&amp;9&amp;D</oddFooter>
  </headerFooter>
  <ignoredErrors>
    <ignoredError sqref="N31 O31 P31 Q31 R31 T31:V31 S31 V51:V52 C52:N52 C57:N57 V57 C53:C54 P56:V56 C51:D51 F51:N51 W31:Z31 C50:X50 W56:X56 Y50:Y57 Z50:Z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G138"/>
  <sheetViews>
    <sheetView showGridLines="0" zoomScaleNormal="100" zoomScaleSheetLayoutView="100" workbookViewId="0">
      <pane xSplit="2" ySplit="5" topLeftCell="T6" activePane="bottomRight" state="frozen"/>
      <selection pane="bottomRight" activeCell="X7" sqref="X7"/>
      <selection pane="bottomLeft" activeCell="A6" sqref="A6"/>
      <selection pane="topRight" activeCell="C1" sqref="C1"/>
    </sheetView>
  </sheetViews>
  <sheetFormatPr defaultColWidth="8.75" defaultRowHeight="15.75"/>
  <cols>
    <col min="1" max="1" width="2.625" style="209" customWidth="1"/>
    <col min="2" max="2" width="28.5" style="1" customWidth="1"/>
    <col min="3" max="6" width="10.5" style="1" bestFit="1" customWidth="1"/>
    <col min="7" max="7" width="10.25" style="1" customWidth="1"/>
    <col min="8" max="10" width="9.375" style="1" customWidth="1"/>
    <col min="11" max="14" width="10.5" style="1" bestFit="1" customWidth="1"/>
    <col min="15" max="15" width="10.375" style="1" customWidth="1"/>
    <col min="16" max="20" width="10.5" style="1" bestFit="1" customWidth="1"/>
    <col min="21" max="21" width="13.25" style="1" bestFit="1" customWidth="1"/>
    <col min="22" max="23" width="10.375" style="1" customWidth="1"/>
    <col min="24" max="24" width="10.25" style="1" customWidth="1"/>
    <col min="25" max="25" width="10.375" style="1" customWidth="1"/>
    <col min="26" max="28" width="13.25" style="1" customWidth="1"/>
    <col min="30" max="30" width="8.625" style="1" bestFit="1" customWidth="1"/>
    <col min="31" max="31" width="7.625" style="1" bestFit="1" customWidth="1"/>
    <col min="32" max="32" width="2.5" style="1" customWidth="1"/>
    <col min="33" max="33" width="20.5" style="1" bestFit="1" customWidth="1"/>
    <col min="34" max="16384" width="8.75" style="1"/>
  </cols>
  <sheetData>
    <row r="1" spans="1:33" s="70" customFormat="1" ht="12">
      <c r="A1" s="270"/>
      <c r="B1" s="388" t="str">
        <f>Summary!B1</f>
        <v>Municipality of Berkley</v>
      </c>
      <c r="C1" s="265"/>
      <c r="D1" s="265"/>
      <c r="E1" s="265"/>
      <c r="F1" s="271"/>
      <c r="G1" s="271"/>
      <c r="H1" s="271"/>
      <c r="I1" s="271"/>
      <c r="J1" s="271"/>
      <c r="K1" s="271"/>
      <c r="L1" s="271"/>
      <c r="M1" s="271"/>
      <c r="N1" s="271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D1" s="265"/>
      <c r="AE1" s="265"/>
      <c r="AF1" s="265"/>
      <c r="AG1" s="265"/>
    </row>
    <row r="2" spans="1:33">
      <c r="A2" s="270"/>
      <c r="B2" s="272" t="s">
        <v>211</v>
      </c>
      <c r="C2" s="271"/>
      <c r="D2" s="271"/>
      <c r="E2" s="271"/>
      <c r="F2" s="242"/>
      <c r="G2" s="242"/>
      <c r="H2" s="242"/>
      <c r="I2" s="242"/>
      <c r="J2" s="242"/>
      <c r="K2" s="242"/>
      <c r="L2" s="242"/>
      <c r="M2" s="242"/>
      <c r="N2" s="242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D2" s="266"/>
      <c r="AE2" s="266"/>
      <c r="AF2" s="266"/>
      <c r="AG2" s="266"/>
    </row>
    <row r="3" spans="1:33">
      <c r="A3" s="270"/>
      <c r="B3" s="399"/>
      <c r="C3" s="271"/>
      <c r="D3" s="271"/>
      <c r="E3" s="271"/>
      <c r="F3" s="242"/>
      <c r="G3" s="242"/>
      <c r="H3" s="242"/>
      <c r="I3" s="242"/>
      <c r="J3" s="242"/>
      <c r="K3" s="242"/>
      <c r="L3" s="242"/>
      <c r="M3" s="242"/>
      <c r="N3" s="242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D3" s="633"/>
      <c r="AE3" s="634"/>
      <c r="AF3" s="266"/>
      <c r="AG3" s="266"/>
    </row>
    <row r="4" spans="1:33">
      <c r="A4" s="270"/>
      <c r="B4" s="267"/>
      <c r="C4" s="267" t="s">
        <v>82</v>
      </c>
      <c r="D4" s="267" t="s">
        <v>83</v>
      </c>
      <c r="E4" s="267" t="s">
        <v>84</v>
      </c>
      <c r="F4" s="267" t="s">
        <v>85</v>
      </c>
      <c r="G4" s="267" t="s">
        <v>86</v>
      </c>
      <c r="H4" s="267" t="s">
        <v>87</v>
      </c>
      <c r="I4" s="267" t="s">
        <v>88</v>
      </c>
      <c r="J4" s="267" t="s">
        <v>89</v>
      </c>
      <c r="K4" s="267" t="s">
        <v>90</v>
      </c>
      <c r="L4" s="267" t="s">
        <v>91</v>
      </c>
      <c r="M4" s="267" t="s">
        <v>92</v>
      </c>
      <c r="N4" s="267" t="s">
        <v>93</v>
      </c>
      <c r="O4" s="267" t="s">
        <v>94</v>
      </c>
      <c r="P4" s="267" t="s">
        <v>95</v>
      </c>
      <c r="Q4" s="267" t="s">
        <v>96</v>
      </c>
      <c r="R4" s="267" t="s">
        <v>97</v>
      </c>
      <c r="S4" s="267" t="s">
        <v>98</v>
      </c>
      <c r="T4" s="267" t="s">
        <v>99</v>
      </c>
      <c r="U4" s="267" t="s">
        <v>100</v>
      </c>
      <c r="V4" s="267" t="s">
        <v>101</v>
      </c>
      <c r="W4" s="267" t="s">
        <v>102</v>
      </c>
      <c r="X4" s="267" t="s">
        <v>103</v>
      </c>
      <c r="Y4" s="267" t="s">
        <v>104</v>
      </c>
      <c r="Z4" s="267" t="s">
        <v>105</v>
      </c>
      <c r="AA4" s="267" t="s">
        <v>106</v>
      </c>
      <c r="AB4" s="267" t="s">
        <v>107</v>
      </c>
      <c r="AD4" s="111" t="s">
        <v>212</v>
      </c>
      <c r="AE4" s="260" t="s">
        <v>157</v>
      </c>
      <c r="AF4" s="266"/>
      <c r="AG4" s="266"/>
    </row>
    <row r="5" spans="1:33">
      <c r="A5" s="270"/>
      <c r="C5" s="301" t="s">
        <v>158</v>
      </c>
      <c r="D5" s="301" t="s">
        <v>158</v>
      </c>
      <c r="E5" s="301" t="s">
        <v>158</v>
      </c>
      <c r="F5" s="301" t="s">
        <v>158</v>
      </c>
      <c r="G5" s="301" t="s">
        <v>158</v>
      </c>
      <c r="H5" s="301" t="s">
        <v>158</v>
      </c>
      <c r="I5" s="301" t="s">
        <v>158</v>
      </c>
      <c r="J5" s="301" t="s">
        <v>158</v>
      </c>
      <c r="K5" s="301" t="s">
        <v>158</v>
      </c>
      <c r="L5" s="301" t="s">
        <v>158</v>
      </c>
      <c r="M5" s="301" t="s">
        <v>158</v>
      </c>
      <c r="N5" s="301" t="s">
        <v>158</v>
      </c>
      <c r="O5" s="301" t="s">
        <v>158</v>
      </c>
      <c r="P5" s="301" t="s">
        <v>158</v>
      </c>
      <c r="Q5" s="301" t="s">
        <v>158</v>
      </c>
      <c r="R5" s="301" t="s">
        <v>158</v>
      </c>
      <c r="S5" s="301" t="s">
        <v>158</v>
      </c>
      <c r="T5" s="301" t="s">
        <v>158</v>
      </c>
      <c r="U5" s="301" t="s">
        <v>158</v>
      </c>
      <c r="V5" s="301" t="s">
        <v>158</v>
      </c>
      <c r="W5" s="301" t="s">
        <v>158</v>
      </c>
      <c r="X5" s="301" t="s">
        <v>159</v>
      </c>
      <c r="Y5" s="301" t="s">
        <v>159</v>
      </c>
      <c r="Z5" s="301" t="s">
        <v>159</v>
      </c>
      <c r="AA5" s="301" t="s">
        <v>159</v>
      </c>
      <c r="AB5" s="301" t="s">
        <v>159</v>
      </c>
      <c r="AD5" s="111" t="s">
        <v>213</v>
      </c>
      <c r="AE5" s="260" t="s">
        <v>160</v>
      </c>
      <c r="AF5" s="266"/>
      <c r="AG5" s="266"/>
    </row>
    <row r="6" spans="1:33">
      <c r="A6" s="270"/>
      <c r="B6" s="273" t="s">
        <v>214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F6" s="266"/>
      <c r="AG6" s="266"/>
    </row>
    <row r="7" spans="1:33">
      <c r="A7" s="274" t="s">
        <v>142</v>
      </c>
      <c r="B7" s="275" t="s">
        <v>215</v>
      </c>
      <c r="C7" s="269">
        <v>4785212</v>
      </c>
      <c r="D7" s="269">
        <f>IF(C27&gt;C12,C12,C27)</f>
        <v>5089557</v>
      </c>
      <c r="E7" s="269">
        <f t="shared" ref="E7:Z7" si="0">IF(D27&gt;D12,D12,D27)</f>
        <v>5328146</v>
      </c>
      <c r="F7" s="269">
        <f t="shared" si="0"/>
        <v>5572606</v>
      </c>
      <c r="G7" s="269">
        <f t="shared" si="0"/>
        <v>5841596</v>
      </c>
      <c r="H7" s="269">
        <f t="shared" si="0"/>
        <v>6036302</v>
      </c>
      <c r="I7" s="269">
        <f t="shared" si="0"/>
        <v>7018121</v>
      </c>
      <c r="J7" s="269">
        <f t="shared" si="0"/>
        <v>7258376</v>
      </c>
      <c r="K7" s="269">
        <f t="shared" si="0"/>
        <v>7497156</v>
      </c>
      <c r="L7" s="269">
        <f t="shared" si="0"/>
        <v>7763010</v>
      </c>
      <c r="M7" s="269">
        <f t="shared" si="0"/>
        <v>8071496</v>
      </c>
      <c r="N7" s="269">
        <f t="shared" si="0"/>
        <v>8347815</v>
      </c>
      <c r="O7" s="269">
        <f t="shared" si="0"/>
        <v>8689220</v>
      </c>
      <c r="P7" s="269">
        <f t="shared" si="0"/>
        <v>9049929</v>
      </c>
      <c r="Q7" s="269">
        <f t="shared" si="0"/>
        <v>9457292</v>
      </c>
      <c r="R7" s="269">
        <f t="shared" si="0"/>
        <v>9873801</v>
      </c>
      <c r="S7" s="269">
        <f t="shared" si="0"/>
        <v>10328891</v>
      </c>
      <c r="T7" s="269">
        <f t="shared" si="0"/>
        <v>10781345</v>
      </c>
      <c r="U7" s="269">
        <f t="shared" si="0"/>
        <v>11219281</v>
      </c>
      <c r="V7" s="269">
        <f t="shared" si="0"/>
        <v>11721724</v>
      </c>
      <c r="W7" s="269">
        <f t="shared" si="0"/>
        <v>12171112</v>
      </c>
      <c r="X7" s="269">
        <f t="shared" si="0"/>
        <v>12635004</v>
      </c>
      <c r="Y7" s="269">
        <f t="shared" si="0"/>
        <v>13110879</v>
      </c>
      <c r="Z7" s="269">
        <f t="shared" si="0"/>
        <v>13598651</v>
      </c>
      <c r="AA7" s="269">
        <f t="shared" ref="AA7" si="1">IF(Z27&gt;Z12,Z12,Z27)</f>
        <v>14098617</v>
      </c>
      <c r="AB7" s="269">
        <f t="shared" ref="AB7" si="2">IF(AA27&gt;AA12,AA12,AA27)</f>
        <v>14611082</v>
      </c>
      <c r="AD7" s="247"/>
      <c r="AE7" s="266"/>
      <c r="AF7" s="266"/>
      <c r="AG7" s="266" t="s">
        <v>216</v>
      </c>
    </row>
    <row r="8" spans="1:33">
      <c r="A8" s="276" t="s">
        <v>217</v>
      </c>
      <c r="B8" s="275" t="s">
        <v>218</v>
      </c>
      <c r="C8" s="277">
        <v>714</v>
      </c>
      <c r="D8" s="277">
        <v>0</v>
      </c>
      <c r="E8" s="277">
        <v>0</v>
      </c>
      <c r="F8" s="277">
        <v>0</v>
      </c>
      <c r="G8" s="277">
        <v>0</v>
      </c>
      <c r="H8" s="269">
        <v>0</v>
      </c>
      <c r="I8" s="269">
        <v>0</v>
      </c>
      <c r="J8" s="269">
        <v>0</v>
      </c>
      <c r="K8" s="269">
        <v>2415</v>
      </c>
      <c r="L8" s="269">
        <v>0</v>
      </c>
      <c r="M8" s="269">
        <v>0</v>
      </c>
      <c r="N8" s="269">
        <v>0</v>
      </c>
      <c r="O8" s="269">
        <v>0</v>
      </c>
      <c r="P8" s="269">
        <v>0</v>
      </c>
      <c r="Q8" s="269">
        <v>0</v>
      </c>
      <c r="R8" s="269">
        <v>0</v>
      </c>
      <c r="S8" s="954">
        <v>-16792</v>
      </c>
      <c r="T8" s="269">
        <v>-830</v>
      </c>
      <c r="U8" s="269">
        <v>-518</v>
      </c>
      <c r="V8" s="269">
        <v>-3189</v>
      </c>
      <c r="W8" s="269">
        <v>0</v>
      </c>
      <c r="X8" s="269">
        <v>0</v>
      </c>
      <c r="Y8" s="269">
        <v>0</v>
      </c>
      <c r="Z8" s="269">
        <v>0</v>
      </c>
      <c r="AA8" s="269">
        <v>0</v>
      </c>
      <c r="AB8" s="269">
        <v>0</v>
      </c>
      <c r="AD8" s="266"/>
      <c r="AE8" s="266"/>
      <c r="AF8" s="266"/>
      <c r="AG8" s="266" t="s">
        <v>219</v>
      </c>
    </row>
    <row r="9" spans="1:33">
      <c r="A9" s="276" t="s">
        <v>220</v>
      </c>
      <c r="B9" s="279" t="s">
        <v>221</v>
      </c>
      <c r="C9" s="280">
        <f t="shared" ref="C9:J9" si="3">ROUND((C7+C8)*0.025,0)</f>
        <v>119648</v>
      </c>
      <c r="D9" s="280">
        <f t="shared" si="3"/>
        <v>127239</v>
      </c>
      <c r="E9" s="280">
        <f t="shared" si="3"/>
        <v>133204</v>
      </c>
      <c r="F9" s="280">
        <f t="shared" si="3"/>
        <v>139315</v>
      </c>
      <c r="G9" s="280">
        <f t="shared" si="3"/>
        <v>146040</v>
      </c>
      <c r="H9" s="280">
        <f t="shared" si="3"/>
        <v>150908</v>
      </c>
      <c r="I9" s="280">
        <f t="shared" si="3"/>
        <v>175453</v>
      </c>
      <c r="J9" s="280">
        <f t="shared" si="3"/>
        <v>181459</v>
      </c>
      <c r="K9" s="280">
        <f>ROUND((K7+K8)*0.025,0)</f>
        <v>187489</v>
      </c>
      <c r="L9" s="280">
        <f t="shared" ref="L9:O9" si="4">ROUND((L7+L8)*0.025,0)</f>
        <v>194075</v>
      </c>
      <c r="M9" s="280">
        <f t="shared" si="4"/>
        <v>201787</v>
      </c>
      <c r="N9" s="280">
        <f t="shared" si="4"/>
        <v>208695</v>
      </c>
      <c r="O9" s="280">
        <f t="shared" si="4"/>
        <v>217231</v>
      </c>
      <c r="P9" s="280">
        <f t="shared" ref="P9:V9" si="5">ROUND((P7+P8)*0.025,0)</f>
        <v>226248</v>
      </c>
      <c r="Q9" s="280">
        <f t="shared" si="5"/>
        <v>236432</v>
      </c>
      <c r="R9" s="280">
        <f t="shared" si="5"/>
        <v>246845</v>
      </c>
      <c r="S9" s="280">
        <f t="shared" si="5"/>
        <v>257802</v>
      </c>
      <c r="T9" s="280">
        <f t="shared" si="5"/>
        <v>269513</v>
      </c>
      <c r="U9" s="280">
        <f t="shared" si="5"/>
        <v>280469</v>
      </c>
      <c r="V9" s="280">
        <f t="shared" si="5"/>
        <v>292963</v>
      </c>
      <c r="W9" s="280">
        <f t="shared" ref="W9:X9" si="6">ROUND((W7+W8)*0.025,0)</f>
        <v>304278</v>
      </c>
      <c r="X9" s="280">
        <f t="shared" si="6"/>
        <v>315875</v>
      </c>
      <c r="Y9" s="280">
        <f t="shared" ref="Y9:Z9" si="7">ROUND((Y7+Y8)*0.025,0)</f>
        <v>327772</v>
      </c>
      <c r="Z9" s="280">
        <f t="shared" si="7"/>
        <v>339966</v>
      </c>
      <c r="AA9" s="280">
        <f t="shared" ref="AA9:AB9" si="8">ROUND((AA7+AA8)*0.025,0)</f>
        <v>352465</v>
      </c>
      <c r="AB9" s="280">
        <f t="shared" si="8"/>
        <v>365277</v>
      </c>
      <c r="AD9" s="247"/>
      <c r="AE9" s="266"/>
      <c r="AF9" s="266"/>
      <c r="AG9" s="266" t="s">
        <v>171</v>
      </c>
    </row>
    <row r="10" spans="1:33">
      <c r="A10" s="276" t="s">
        <v>222</v>
      </c>
      <c r="B10" s="281" t="s">
        <v>223</v>
      </c>
      <c r="C10" s="277">
        <v>183983</v>
      </c>
      <c r="D10" s="277">
        <f t="shared" ref="D10:O10" si="9">D35</f>
        <v>111350</v>
      </c>
      <c r="E10" s="277">
        <v>111256</v>
      </c>
      <c r="F10" s="277">
        <f t="shared" si="9"/>
        <v>129675</v>
      </c>
      <c r="G10" s="277">
        <f t="shared" si="9"/>
        <v>48666</v>
      </c>
      <c r="H10" s="277">
        <v>55911</v>
      </c>
      <c r="I10" s="277">
        <f t="shared" si="9"/>
        <v>64802</v>
      </c>
      <c r="J10" s="277">
        <f t="shared" si="9"/>
        <v>57321</v>
      </c>
      <c r="K10" s="277">
        <f t="shared" si="9"/>
        <v>75950</v>
      </c>
      <c r="L10" s="277">
        <f t="shared" si="9"/>
        <v>114411</v>
      </c>
      <c r="M10" s="277">
        <v>74532</v>
      </c>
      <c r="N10" s="277">
        <f t="shared" si="9"/>
        <v>132710</v>
      </c>
      <c r="O10" s="277">
        <f t="shared" si="9"/>
        <v>143478</v>
      </c>
      <c r="P10" s="277">
        <f t="shared" ref="P10:T10" si="10">P35</f>
        <v>181115</v>
      </c>
      <c r="Q10" s="277">
        <f t="shared" si="10"/>
        <v>180077</v>
      </c>
      <c r="R10" s="277">
        <f t="shared" si="10"/>
        <v>208245</v>
      </c>
      <c r="S10" s="277">
        <f t="shared" si="10"/>
        <v>211444</v>
      </c>
      <c r="T10" s="277">
        <f t="shared" si="10"/>
        <v>169253</v>
      </c>
      <c r="U10" s="277">
        <f>U35</f>
        <v>222492</v>
      </c>
      <c r="V10" s="289">
        <v>159614</v>
      </c>
      <c r="W10" s="289">
        <f t="shared" ref="W10:Z10" si="11">V35</f>
        <v>159614</v>
      </c>
      <c r="X10" s="289">
        <f t="shared" si="11"/>
        <v>160000</v>
      </c>
      <c r="Y10" s="289">
        <f t="shared" si="11"/>
        <v>160000</v>
      </c>
      <c r="Z10" s="289">
        <f t="shared" si="11"/>
        <v>160000</v>
      </c>
      <c r="AA10" s="289">
        <f t="shared" ref="AA10" si="12">Z35</f>
        <v>160000</v>
      </c>
      <c r="AB10" s="289">
        <f t="shared" ref="AB10" si="13">AA35</f>
        <v>160001</v>
      </c>
      <c r="AD10" s="1" t="s">
        <v>224</v>
      </c>
      <c r="AE10" s="266"/>
      <c r="AF10" s="266"/>
      <c r="AG10" s="266" t="s">
        <v>225</v>
      </c>
    </row>
    <row r="11" spans="1:33">
      <c r="A11" s="282" t="s">
        <v>226</v>
      </c>
      <c r="B11" s="275" t="s">
        <v>227</v>
      </c>
      <c r="C11" s="269">
        <v>0</v>
      </c>
      <c r="D11" s="269"/>
      <c r="E11" s="280">
        <v>0</v>
      </c>
      <c r="F11" s="280"/>
      <c r="G11" s="280"/>
      <c r="H11" s="280">
        <v>775000</v>
      </c>
      <c r="I11" s="280">
        <v>0</v>
      </c>
      <c r="J11" s="280">
        <v>0</v>
      </c>
      <c r="K11" s="277">
        <v>0</v>
      </c>
      <c r="L11" s="277">
        <v>0</v>
      </c>
      <c r="M11" s="277">
        <v>0</v>
      </c>
      <c r="N11" s="277">
        <v>0</v>
      </c>
      <c r="O11" s="277">
        <v>0</v>
      </c>
      <c r="P11" s="277">
        <v>0</v>
      </c>
      <c r="Q11" s="277">
        <v>0</v>
      </c>
      <c r="R11" s="277">
        <v>0</v>
      </c>
      <c r="S11" s="277">
        <v>0</v>
      </c>
      <c r="T11" s="277">
        <v>0</v>
      </c>
      <c r="U11" s="277">
        <v>0</v>
      </c>
      <c r="V11" s="277">
        <v>0</v>
      </c>
      <c r="W11" s="277">
        <v>0</v>
      </c>
      <c r="X11" s="277">
        <v>0</v>
      </c>
      <c r="Y11" s="277">
        <v>0</v>
      </c>
      <c r="Z11" s="277">
        <v>0</v>
      </c>
      <c r="AA11" s="277">
        <v>0</v>
      </c>
      <c r="AB11" s="277">
        <v>0</v>
      </c>
      <c r="AD11" s="266"/>
      <c r="AE11" s="266"/>
      <c r="AF11" s="266"/>
      <c r="AG11" s="266" t="s">
        <v>219</v>
      </c>
    </row>
    <row r="12" spans="1:33">
      <c r="A12" s="276"/>
      <c r="B12" s="283" t="s">
        <v>228</v>
      </c>
      <c r="C12" s="284">
        <f>SUM(C7:C11)</f>
        <v>5089557</v>
      </c>
      <c r="D12" s="284">
        <f>SUM(D7:D11)</f>
        <v>5328146</v>
      </c>
      <c r="E12" s="284">
        <f t="shared" ref="E12:O12" si="14">SUM(E7:E11)</f>
        <v>5572606</v>
      </c>
      <c r="F12" s="284">
        <f t="shared" si="14"/>
        <v>5841596</v>
      </c>
      <c r="G12" s="284">
        <f t="shared" si="14"/>
        <v>6036302</v>
      </c>
      <c r="H12" s="284">
        <f t="shared" si="14"/>
        <v>7018121</v>
      </c>
      <c r="I12" s="284">
        <f t="shared" si="14"/>
        <v>7258376</v>
      </c>
      <c r="J12" s="284">
        <f t="shared" si="14"/>
        <v>7497156</v>
      </c>
      <c r="K12" s="284">
        <f t="shared" si="14"/>
        <v>7763010</v>
      </c>
      <c r="L12" s="284">
        <f t="shared" si="14"/>
        <v>8071496</v>
      </c>
      <c r="M12" s="284">
        <f t="shared" si="14"/>
        <v>8347815</v>
      </c>
      <c r="N12" s="285">
        <f t="shared" si="14"/>
        <v>8689220</v>
      </c>
      <c r="O12" s="285">
        <f t="shared" si="14"/>
        <v>9049929</v>
      </c>
      <c r="P12" s="285">
        <f t="shared" ref="P12:V12" si="15">SUM(P7:P11)</f>
        <v>9457292</v>
      </c>
      <c r="Q12" s="285">
        <f t="shared" si="15"/>
        <v>9873801</v>
      </c>
      <c r="R12" s="285">
        <f t="shared" si="15"/>
        <v>10328891</v>
      </c>
      <c r="S12" s="285">
        <f t="shared" si="15"/>
        <v>10781345</v>
      </c>
      <c r="T12" s="285">
        <f t="shared" si="15"/>
        <v>11219281</v>
      </c>
      <c r="U12" s="285">
        <f t="shared" si="15"/>
        <v>11721724</v>
      </c>
      <c r="V12" s="285">
        <f t="shared" si="15"/>
        <v>12171112</v>
      </c>
      <c r="W12" s="285">
        <f t="shared" ref="W12:X12" si="16">SUM(W7:W11)</f>
        <v>12635004</v>
      </c>
      <c r="X12" s="285">
        <f t="shared" si="16"/>
        <v>13110879</v>
      </c>
      <c r="Y12" s="285">
        <f t="shared" ref="Y12:Z12" si="17">SUM(Y7:Y11)</f>
        <v>13598651</v>
      </c>
      <c r="Z12" s="285">
        <f t="shared" si="17"/>
        <v>14098617</v>
      </c>
      <c r="AA12" s="285">
        <f t="shared" ref="AA12:AB12" si="18">SUM(AA7:AA11)</f>
        <v>14611082</v>
      </c>
      <c r="AB12" s="285">
        <f t="shared" si="18"/>
        <v>15136360</v>
      </c>
      <c r="AD12" s="247">
        <f>IFERROR(AVERAGE((M12-L12)/L12,(N12-M12)/M12,(O12-N12)/N12,(P12-O12)/O12,(Q12-P12)/P12,(R12-Q12)/Q12),"")</f>
        <v>4.1964706289512321E-2</v>
      </c>
      <c r="AE12" s="266"/>
      <c r="AF12" s="266"/>
      <c r="AG12" s="266" t="s">
        <v>171</v>
      </c>
    </row>
    <row r="13" spans="1:33">
      <c r="A13" s="282" t="s">
        <v>229</v>
      </c>
      <c r="B13" s="286" t="s">
        <v>230</v>
      </c>
      <c r="C13" s="287">
        <v>485638</v>
      </c>
      <c r="D13" s="287">
        <f t="shared" ref="D13:U13" si="19">D42</f>
        <v>688242</v>
      </c>
      <c r="E13" s="287">
        <f t="shared" si="19"/>
        <v>192196</v>
      </c>
      <c r="F13" s="287">
        <f t="shared" si="19"/>
        <v>588206</v>
      </c>
      <c r="G13" s="287">
        <f t="shared" si="19"/>
        <v>444543</v>
      </c>
      <c r="H13" s="287">
        <f t="shared" si="19"/>
        <v>440480</v>
      </c>
      <c r="I13" s="287">
        <f t="shared" si="19"/>
        <v>222322</v>
      </c>
      <c r="J13" s="287">
        <f t="shared" si="19"/>
        <v>1877144</v>
      </c>
      <c r="K13" s="287">
        <f t="shared" si="19"/>
        <v>447346</v>
      </c>
      <c r="L13" s="287">
        <f t="shared" si="19"/>
        <v>649846</v>
      </c>
      <c r="M13" s="287">
        <f t="shared" si="19"/>
        <v>1230208</v>
      </c>
      <c r="N13" s="287">
        <f t="shared" si="19"/>
        <v>1292598</v>
      </c>
      <c r="O13" s="287">
        <f t="shared" si="19"/>
        <v>1300225</v>
      </c>
      <c r="P13" s="287">
        <f t="shared" si="19"/>
        <v>1154247</v>
      </c>
      <c r="Q13" s="287">
        <f t="shared" si="19"/>
        <v>1172256</v>
      </c>
      <c r="R13" s="287">
        <f t="shared" si="19"/>
        <v>959795</v>
      </c>
      <c r="S13" s="287">
        <f t="shared" si="19"/>
        <v>929046</v>
      </c>
      <c r="T13" s="287">
        <f t="shared" si="19"/>
        <v>817940</v>
      </c>
      <c r="U13" s="287">
        <f t="shared" si="19"/>
        <v>1035625</v>
      </c>
      <c r="V13" s="287">
        <v>1213996</v>
      </c>
      <c r="W13" s="287">
        <v>1856510</v>
      </c>
      <c r="X13" s="287">
        <v>3867342</v>
      </c>
      <c r="Y13" s="287">
        <v>4659265</v>
      </c>
      <c r="Z13" s="287">
        <v>4686456</v>
      </c>
      <c r="AA13" s="287">
        <v>4685587</v>
      </c>
      <c r="AB13" s="287">
        <v>4684232</v>
      </c>
      <c r="AD13" s="247">
        <f>IFERROR(AVERAGE((M13-L13)/L13,(N13-M13)/M13,(O13-N13)/N13,(P13-O13)/O13,(Q13-P13)/P13,(R13-Q13)/Q13),"")</f>
        <v>0.11196360672977033</v>
      </c>
      <c r="AF13" s="469"/>
      <c r="AG13" s="266" t="s">
        <v>231</v>
      </c>
    </row>
    <row r="14" spans="1:33">
      <c r="A14" s="288" t="s">
        <v>232</v>
      </c>
      <c r="B14" s="281" t="s">
        <v>233</v>
      </c>
      <c r="C14" s="277">
        <v>0</v>
      </c>
      <c r="D14" s="277">
        <v>0</v>
      </c>
      <c r="E14" s="277">
        <v>0</v>
      </c>
      <c r="F14" s="277"/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89">
        <v>0</v>
      </c>
      <c r="N14" s="289">
        <v>0</v>
      </c>
      <c r="O14" s="289">
        <v>0</v>
      </c>
      <c r="P14" s="289">
        <v>0</v>
      </c>
      <c r="Q14" s="289">
        <v>0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D14" s="266"/>
      <c r="AE14" s="266"/>
      <c r="AF14" s="266"/>
      <c r="AG14" s="266" t="s">
        <v>219</v>
      </c>
    </row>
    <row r="15" spans="1:33">
      <c r="A15" s="288"/>
      <c r="B15" s="281" t="s">
        <v>234</v>
      </c>
      <c r="C15" s="277">
        <v>0</v>
      </c>
      <c r="D15" s="277">
        <v>800000</v>
      </c>
      <c r="E15" s="277">
        <v>820000</v>
      </c>
      <c r="F15" s="277">
        <v>840500</v>
      </c>
      <c r="G15" s="277">
        <v>0</v>
      </c>
      <c r="H15" s="277">
        <v>1383051</v>
      </c>
      <c r="I15" s="277">
        <v>1417626</v>
      </c>
      <c r="J15" s="277">
        <v>0</v>
      </c>
      <c r="K15" s="277">
        <v>1489393</v>
      </c>
      <c r="L15" s="277">
        <v>1526628</v>
      </c>
      <c r="M15" s="289">
        <v>1564794</v>
      </c>
      <c r="N15" s="289">
        <v>1603914</v>
      </c>
      <c r="O15" s="289">
        <v>1644012</v>
      </c>
      <c r="P15" s="289">
        <v>2555112</v>
      </c>
      <c r="Q15" s="289">
        <v>2618990</v>
      </c>
      <c r="R15" s="289">
        <v>2684465</v>
      </c>
      <c r="S15" s="289">
        <v>2751577</v>
      </c>
      <c r="T15" s="289">
        <v>2820366</v>
      </c>
      <c r="U15" s="289">
        <v>2890875</v>
      </c>
      <c r="V15" s="289">
        <f>2963146</f>
        <v>2963146</v>
      </c>
      <c r="W15" s="289">
        <f>V15*1.025</f>
        <v>3037224.65</v>
      </c>
      <c r="X15" s="289">
        <f>(W15*1.025)+4874558.4</f>
        <v>7987713.6662499998</v>
      </c>
      <c r="Y15" s="289">
        <f>X15*1.025</f>
        <v>8187406.5079062488</v>
      </c>
      <c r="Z15" s="289">
        <f>Y15*1.025</f>
        <v>8392091.6706039049</v>
      </c>
      <c r="AA15" s="289">
        <f t="shared" ref="AA15:AB15" si="20">Z15*1.025</f>
        <v>8601893.9623690024</v>
      </c>
      <c r="AB15" s="289">
        <f t="shared" si="20"/>
        <v>8816941.3114282265</v>
      </c>
      <c r="AD15" s="266" t="s">
        <v>235</v>
      </c>
      <c r="AE15" s="266"/>
      <c r="AF15" s="266"/>
      <c r="AG15" s="266" t="s">
        <v>219</v>
      </c>
    </row>
    <row r="16" spans="1:33">
      <c r="A16" s="288"/>
      <c r="B16" s="281" t="s">
        <v>236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89">
        <v>0</v>
      </c>
      <c r="N16" s="289"/>
      <c r="O16" s="289">
        <v>0</v>
      </c>
      <c r="P16" s="289">
        <v>0</v>
      </c>
      <c r="Q16" s="289">
        <v>0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/>
      <c r="Y16" s="289"/>
      <c r="Z16" s="289"/>
      <c r="AA16" s="289"/>
      <c r="AB16" s="289"/>
      <c r="AD16" s="266"/>
      <c r="AE16" s="266"/>
      <c r="AF16" s="266"/>
      <c r="AG16" s="266" t="s">
        <v>219</v>
      </c>
    </row>
    <row r="17" spans="1:33">
      <c r="A17" s="282"/>
      <c r="B17" s="555" t="s">
        <v>237</v>
      </c>
      <c r="C17" s="277">
        <v>0</v>
      </c>
      <c r="D17" s="277">
        <v>0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89">
        <v>0</v>
      </c>
      <c r="N17" s="289">
        <v>0</v>
      </c>
      <c r="O17" s="289">
        <v>0</v>
      </c>
      <c r="P17" s="289">
        <v>0</v>
      </c>
      <c r="Q17" s="289"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/>
      <c r="Z17" s="289">
        <v>0</v>
      </c>
      <c r="AA17" s="289">
        <v>0</v>
      </c>
      <c r="AB17" s="289">
        <v>0</v>
      </c>
      <c r="AD17" s="266"/>
      <c r="AE17" s="266"/>
      <c r="AF17" s="266"/>
      <c r="AG17" s="266" t="s">
        <v>219</v>
      </c>
    </row>
    <row r="18" spans="1:33">
      <c r="A18" s="288" t="s">
        <v>238</v>
      </c>
      <c r="B18" s="290" t="s">
        <v>239</v>
      </c>
      <c r="C18" s="291">
        <f t="shared" ref="C18:P18" si="21">IF(C27&gt;SUM(C12:C17),SUM(C12:C17),C27+SUM(C13:C17))</f>
        <v>5575195</v>
      </c>
      <c r="D18" s="291">
        <f t="shared" si="21"/>
        <v>6816388</v>
      </c>
      <c r="E18" s="291">
        <f t="shared" si="21"/>
        <v>6584802</v>
      </c>
      <c r="F18" s="291">
        <f t="shared" si="21"/>
        <v>7270302</v>
      </c>
      <c r="G18" s="291">
        <f t="shared" si="21"/>
        <v>6480845</v>
      </c>
      <c r="H18" s="291">
        <f t="shared" si="21"/>
        <v>8841652</v>
      </c>
      <c r="I18" s="291">
        <f t="shared" si="21"/>
        <v>8898324</v>
      </c>
      <c r="J18" s="291">
        <f t="shared" si="21"/>
        <v>9374300</v>
      </c>
      <c r="K18" s="291">
        <f t="shared" si="21"/>
        <v>9699749</v>
      </c>
      <c r="L18" s="291">
        <f t="shared" si="21"/>
        <v>10247970</v>
      </c>
      <c r="M18" s="291">
        <f t="shared" si="21"/>
        <v>11142817</v>
      </c>
      <c r="N18" s="291">
        <f t="shared" si="21"/>
        <v>11585732</v>
      </c>
      <c r="O18" s="291">
        <f t="shared" si="21"/>
        <v>11994166</v>
      </c>
      <c r="P18" s="291">
        <f t="shared" si="21"/>
        <v>13166651</v>
      </c>
      <c r="Q18" s="291">
        <f>IF(Q27&gt;SUM(Q12:Q17),SUM(Q12:Q17),Q27+SUM(Q13:Q17))</f>
        <v>13665047</v>
      </c>
      <c r="R18" s="291">
        <f t="shared" ref="R18:W18" si="22">IF(R27&gt;SUM(R12:R17),SUM(R12:R17),R27+SUM(R13:R17))</f>
        <v>13973151</v>
      </c>
      <c r="S18" s="291">
        <f t="shared" si="22"/>
        <v>14461968</v>
      </c>
      <c r="T18" s="291">
        <f t="shared" si="22"/>
        <v>14857587</v>
      </c>
      <c r="U18" s="291">
        <f t="shared" si="22"/>
        <v>15648224</v>
      </c>
      <c r="V18" s="291">
        <f t="shared" si="22"/>
        <v>16348254</v>
      </c>
      <c r="W18" s="291">
        <f t="shared" si="22"/>
        <v>17528738.649999999</v>
      </c>
      <c r="X18" s="291">
        <f t="shared" ref="X18:Y18" si="23">IF(X27&gt;SUM(X12:X17),SUM(X12:X17),X27+SUM(X13:X17))</f>
        <v>24965934.666249998</v>
      </c>
      <c r="Y18" s="291">
        <f t="shared" si="23"/>
        <v>26445322.507906251</v>
      </c>
      <c r="Z18" s="291">
        <f t="shared" ref="Z18:AB18" si="24">IF(Z27&gt;SUM(Z12:Z17),SUM(Z12:Z17),Z27+SUM(Z13:Z17))</f>
        <v>27177164.670603905</v>
      </c>
      <c r="AA18" s="291">
        <f t="shared" si="24"/>
        <v>27898562.962369002</v>
      </c>
      <c r="AB18" s="291">
        <f t="shared" si="24"/>
        <v>28637533.311428227</v>
      </c>
      <c r="AD18" s="247">
        <f>IFERROR(AVERAGE((M18-L18)/L18,(N18-M18)/M18,(O18-N18)/N18,(P18-O18)/O18,(Q18-P18)/P18,(R18-Q18)/Q18),"")</f>
        <v>5.3412655912304902E-2</v>
      </c>
      <c r="AE18" s="266"/>
      <c r="AF18" s="266"/>
      <c r="AG18" s="266" t="s">
        <v>171</v>
      </c>
    </row>
    <row r="19" spans="1:33">
      <c r="A19" s="282"/>
      <c r="B19" s="822" t="s">
        <v>240</v>
      </c>
      <c r="C19" s="823" t="str">
        <f t="shared" ref="C19:K19" si="25">IFERROR((C18-B18)/B18,"")</f>
        <v/>
      </c>
      <c r="D19" s="823">
        <f t="shared" si="25"/>
        <v>0.22262772871621531</v>
      </c>
      <c r="E19" s="823">
        <f t="shared" si="25"/>
        <v>-3.3974885232472093E-2</v>
      </c>
      <c r="F19" s="823">
        <f t="shared" si="25"/>
        <v>0.10410335800529766</v>
      </c>
      <c r="G19" s="823">
        <f t="shared" si="25"/>
        <v>-0.10858654839922743</v>
      </c>
      <c r="H19" s="823">
        <f t="shared" si="25"/>
        <v>0.36427456604810021</v>
      </c>
      <c r="I19" s="823">
        <f t="shared" si="25"/>
        <v>6.4096619048114537E-3</v>
      </c>
      <c r="J19" s="823">
        <f t="shared" si="25"/>
        <v>5.3490522484908397E-2</v>
      </c>
      <c r="K19" s="823">
        <f t="shared" si="25"/>
        <v>3.4717152214031981E-2</v>
      </c>
      <c r="L19" s="823">
        <f>IFERROR((L18-K18)/K18,"")</f>
        <v>5.651909137030247E-2</v>
      </c>
      <c r="M19" s="823">
        <f t="shared" ref="M19:Z19" si="26">IFERROR((M18-L18)/L18,"")</f>
        <v>8.7319439850038594E-2</v>
      </c>
      <c r="N19" s="823">
        <f t="shared" si="26"/>
        <v>3.9748925249333267E-2</v>
      </c>
      <c r="O19" s="823">
        <f t="shared" si="26"/>
        <v>3.5253189008687583E-2</v>
      </c>
      <c r="P19" s="823">
        <f t="shared" si="26"/>
        <v>9.7754608365433662E-2</v>
      </c>
      <c r="Q19" s="823">
        <f t="shared" si="26"/>
        <v>3.7852905799660067E-2</v>
      </c>
      <c r="R19" s="823">
        <f t="shared" si="26"/>
        <v>2.2546867200676293E-2</v>
      </c>
      <c r="S19" s="823">
        <f t="shared" si="26"/>
        <v>3.4982589109643199E-2</v>
      </c>
      <c r="T19" s="823">
        <f t="shared" si="26"/>
        <v>2.7355820452652089E-2</v>
      </c>
      <c r="U19" s="823">
        <f t="shared" si="26"/>
        <v>5.3214361120685345E-2</v>
      </c>
      <c r="V19" s="823">
        <f t="shared" si="26"/>
        <v>4.4735428122705811E-2</v>
      </c>
      <c r="W19" s="823">
        <f t="shared" si="26"/>
        <v>7.2208607108746811E-2</v>
      </c>
      <c r="X19" s="823">
        <f t="shared" si="26"/>
        <v>0.4242858636180305</v>
      </c>
      <c r="Y19" s="823">
        <f t="shared" si="26"/>
        <v>5.925625703315452E-2</v>
      </c>
      <c r="Z19" s="823">
        <f t="shared" si="26"/>
        <v>2.7673784748847678E-2</v>
      </c>
      <c r="AA19" s="823">
        <f t="shared" ref="AA19" si="27">IFERROR((AA18-Z18)/Z18,"")</f>
        <v>2.6544280851541358E-2</v>
      </c>
      <c r="AB19" s="823">
        <f t="shared" ref="AB19" si="28">IFERROR((AB18-AA18)/AA18,"")</f>
        <v>2.6487756737004153E-2</v>
      </c>
      <c r="AD19" s="266"/>
      <c r="AE19" s="266"/>
      <c r="AF19" s="266"/>
      <c r="AG19" s="266"/>
    </row>
    <row r="20" spans="1:33">
      <c r="A20" s="282"/>
      <c r="B20" s="293"/>
      <c r="C20" s="292"/>
      <c r="D20" s="292"/>
      <c r="E20" s="292"/>
      <c r="F20" s="292"/>
      <c r="G20" s="292"/>
      <c r="H20" s="292"/>
      <c r="I20" s="292"/>
      <c r="J20" s="292"/>
      <c r="K20" s="292"/>
      <c r="L20" s="294"/>
      <c r="M20" s="294"/>
      <c r="N20" s="294"/>
      <c r="O20" s="295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D20" s="266"/>
      <c r="AE20" s="266"/>
      <c r="AF20" s="266"/>
      <c r="AG20" s="266"/>
    </row>
    <row r="21" spans="1:33">
      <c r="A21" s="288" t="s">
        <v>241</v>
      </c>
      <c r="B21" s="789" t="s">
        <v>242</v>
      </c>
      <c r="C21" s="285">
        <f>IF(C22&gt;0,C22-C18,0)</f>
        <v>-6317</v>
      </c>
      <c r="D21" s="285">
        <f t="shared" ref="D21:V21" si="29">IF(D22&gt;0,D22-D18,0)</f>
        <v>-6659.0400000000373</v>
      </c>
      <c r="E21" s="285">
        <f t="shared" si="29"/>
        <v>-5330.8300000000745</v>
      </c>
      <c r="F21" s="285">
        <f t="shared" si="29"/>
        <v>-6778</v>
      </c>
      <c r="G21" s="285">
        <f t="shared" si="29"/>
        <v>859790</v>
      </c>
      <c r="H21" s="285">
        <f t="shared" si="29"/>
        <v>-6002</v>
      </c>
      <c r="I21" s="285">
        <f t="shared" si="29"/>
        <v>-3370</v>
      </c>
      <c r="J21" s="285">
        <f t="shared" si="29"/>
        <v>-450848</v>
      </c>
      <c r="K21" s="285">
        <f t="shared" si="29"/>
        <v>-189361</v>
      </c>
      <c r="L21" s="285">
        <f t="shared" si="29"/>
        <v>-312</v>
      </c>
      <c r="M21" s="285">
        <f t="shared" si="29"/>
        <v>-3402</v>
      </c>
      <c r="N21" s="285">
        <f>IF(N22&gt;0,N22-N18,0)</f>
        <v>-4474</v>
      </c>
      <c r="O21" s="285">
        <f t="shared" si="29"/>
        <v>-10072</v>
      </c>
      <c r="P21" s="285">
        <f t="shared" si="29"/>
        <v>-6423</v>
      </c>
      <c r="Q21" s="285">
        <f t="shared" si="29"/>
        <v>-5011</v>
      </c>
      <c r="R21" s="285">
        <f>IF(R22&gt;0,R22-R18,0)</f>
        <v>-10453</v>
      </c>
      <c r="S21" s="285">
        <f t="shared" si="29"/>
        <v>-7868</v>
      </c>
      <c r="T21" s="285">
        <f t="shared" si="29"/>
        <v>21178</v>
      </c>
      <c r="U21" s="285">
        <f t="shared" si="29"/>
        <v>26951.859999999404</v>
      </c>
      <c r="V21" s="285">
        <f t="shared" si="29"/>
        <v>-3389.1199999991804</v>
      </c>
      <c r="W21" s="285">
        <f t="shared" ref="W21:X21" si="30">IF(W22&gt;0,W22-W18,0)</f>
        <v>0</v>
      </c>
      <c r="X21" s="285">
        <f t="shared" si="30"/>
        <v>0</v>
      </c>
      <c r="Y21" s="285">
        <f t="shared" ref="Y21:Z21" si="31">IF(Y22&gt;0,Y22-Y18,0)</f>
        <v>0</v>
      </c>
      <c r="Z21" s="285">
        <f t="shared" si="31"/>
        <v>0</v>
      </c>
      <c r="AA21" s="285">
        <f t="shared" ref="AA21:AB21" si="32">IF(AA22&gt;0,AA22-AA18,0)</f>
        <v>0</v>
      </c>
      <c r="AB21" s="285">
        <f t="shared" si="32"/>
        <v>0</v>
      </c>
      <c r="AD21" s="266"/>
      <c r="AE21" s="266"/>
      <c r="AF21" s="266"/>
      <c r="AG21" s="266" t="s">
        <v>171</v>
      </c>
    </row>
    <row r="22" spans="1:33" ht="16.5" thickBot="1">
      <c r="A22" s="288" t="s">
        <v>243</v>
      </c>
      <c r="B22" s="790" t="s">
        <v>244</v>
      </c>
      <c r="C22" s="791">
        <v>5568878</v>
      </c>
      <c r="D22" s="791">
        <v>6809728.96</v>
      </c>
      <c r="E22" s="791">
        <v>6579471.1699999999</v>
      </c>
      <c r="F22" s="791">
        <v>7263524</v>
      </c>
      <c r="G22" s="791">
        <v>7340635</v>
      </c>
      <c r="H22" s="791">
        <v>8835650</v>
      </c>
      <c r="I22" s="791">
        <v>8894954</v>
      </c>
      <c r="J22" s="791">
        <v>8923452</v>
      </c>
      <c r="K22" s="791">
        <v>9510388</v>
      </c>
      <c r="L22" s="791">
        <v>10247658</v>
      </c>
      <c r="M22" s="791">
        <v>11139415</v>
      </c>
      <c r="N22" s="791">
        <v>11581258</v>
      </c>
      <c r="O22" s="791">
        <v>11984094</v>
      </c>
      <c r="P22" s="791">
        <v>13160228</v>
      </c>
      <c r="Q22" s="791">
        <v>13660036</v>
      </c>
      <c r="R22" s="791">
        <v>13962698</v>
      </c>
      <c r="S22" s="791">
        <v>14454100</v>
      </c>
      <c r="T22" s="791">
        <v>14878765</v>
      </c>
      <c r="U22" s="791">
        <v>15675175.859999999</v>
      </c>
      <c r="V22" s="791">
        <v>16344864.880000001</v>
      </c>
      <c r="W22" s="791"/>
      <c r="X22" s="791"/>
      <c r="Y22" s="791"/>
      <c r="Z22" s="791"/>
      <c r="AA22" s="791"/>
      <c r="AB22" s="791"/>
      <c r="AD22" s="247">
        <f>IFERROR(AVERAGE((M22-L22)/L22,(N22-M22)/M22,(O22-N22)/N22,(P22-O22)/O22,(Q22-P22)/P22,(R22-Q22)/Q22),"")</f>
        <v>5.3290918751163818E-2</v>
      </c>
      <c r="AE22" s="266"/>
      <c r="AF22" s="266"/>
      <c r="AG22" s="266" t="s">
        <v>245</v>
      </c>
    </row>
    <row r="23" spans="1:33" ht="16.5" thickTop="1">
      <c r="A23" s="282"/>
      <c r="B23" s="822" t="s">
        <v>240</v>
      </c>
      <c r="C23" s="823" t="str">
        <f t="shared" ref="C23" si="33">IFERROR((C22-B22)/B22,"")</f>
        <v/>
      </c>
      <c r="D23" s="823">
        <f t="shared" ref="D23" si="34">IFERROR((D22-C22)/C22,"")</f>
        <v>0.22281884429861815</v>
      </c>
      <c r="E23" s="823">
        <f t="shared" ref="E23" si="35">IFERROR((E22-D22)/D22,"")</f>
        <v>-3.38130623630577E-2</v>
      </c>
      <c r="F23" s="823">
        <f t="shared" ref="F23" si="36">IFERROR((F22-E22)/E22,"")</f>
        <v>0.10396775247211852</v>
      </c>
      <c r="G23" s="823">
        <f t="shared" ref="G23" si="37">IFERROR((G22-F22)/F22,"")</f>
        <v>1.0616196766197785E-2</v>
      </c>
      <c r="H23" s="823">
        <f t="shared" ref="H23" si="38">IFERROR((H22-G22)/G22,"")</f>
        <v>0.20366289837323337</v>
      </c>
      <c r="I23" s="823">
        <f t="shared" ref="I23" si="39">IFERROR((I22-H22)/H22,"")</f>
        <v>6.7119000865810668E-3</v>
      </c>
      <c r="J23" s="823">
        <f t="shared" ref="J23" si="40">IFERROR((J22-I22)/I22,"")</f>
        <v>3.2038389405948586E-3</v>
      </c>
      <c r="K23" s="823">
        <f t="shared" ref="K23" si="41">IFERROR((K22-J22)/J22,"")</f>
        <v>6.5774545545826887E-2</v>
      </c>
      <c r="L23" s="823">
        <f t="shared" ref="L23" si="42">IFERROR((L22-K22)/K22,"")</f>
        <v>7.752259949856935E-2</v>
      </c>
      <c r="M23" s="823">
        <f t="shared" ref="M23" si="43">IFERROR((M22-L22)/L22,"")</f>
        <v>8.7020566064948693E-2</v>
      </c>
      <c r="N23" s="823">
        <f t="shared" ref="N23" si="44">IFERROR((N22-M22)/M22,"")</f>
        <v>3.9664829795819617E-2</v>
      </c>
      <c r="O23" s="823">
        <f t="shared" ref="O23" si="45">IFERROR((O22-N22)/N22,"")</f>
        <v>3.4783440624498653E-2</v>
      </c>
      <c r="P23" s="823">
        <f t="shared" ref="P23" si="46">IFERROR((P22-O22)/O22,"")</f>
        <v>9.8141252897382153E-2</v>
      </c>
      <c r="Q23" s="823">
        <f t="shared" ref="Q23" si="47">IFERROR((Q22-P22)/P22,"")</f>
        <v>3.7978673317817901E-2</v>
      </c>
      <c r="R23" s="823">
        <f t="shared" ref="R23" si="48">IFERROR((R22-Q22)/Q22,"")</f>
        <v>2.2156749806515882E-2</v>
      </c>
      <c r="S23" s="823">
        <f t="shared" ref="S23" si="49">IFERROR((S22-R22)/R22,"")</f>
        <v>3.5193914528553152E-2</v>
      </c>
      <c r="T23" s="823">
        <f t="shared" ref="T23" si="50">IFERROR((T22-S22)/S22,"")</f>
        <v>2.9380245051577061E-2</v>
      </c>
      <c r="U23" s="823">
        <f t="shared" ref="U23" si="51">IFERROR((U22-T22)/T22,"")</f>
        <v>5.3526677785420994E-2</v>
      </c>
      <c r="V23" s="823">
        <f t="shared" ref="V23:Z23" si="52">IFERROR((V22-U22)/U22,"")</f>
        <v>4.2722903141962032E-2</v>
      </c>
      <c r="W23" s="823">
        <f t="shared" si="52"/>
        <v>-1</v>
      </c>
      <c r="X23" s="823" t="str">
        <f t="shared" si="52"/>
        <v/>
      </c>
      <c r="Y23" s="823" t="str">
        <f t="shared" si="52"/>
        <v/>
      </c>
      <c r="Z23" s="823" t="str">
        <f t="shared" si="52"/>
        <v/>
      </c>
      <c r="AA23" s="823" t="str">
        <f t="shared" ref="AA23" si="53">IFERROR((AA22-Z22)/Z22,"")</f>
        <v/>
      </c>
      <c r="AB23" s="823" t="str">
        <f t="shared" ref="AB23" si="54">IFERROR((AB22-AA22)/AA22,"")</f>
        <v/>
      </c>
      <c r="AD23" s="266"/>
      <c r="AE23" s="266"/>
      <c r="AF23" s="266"/>
      <c r="AG23" s="266"/>
    </row>
    <row r="24" spans="1:33" s="73" customFormat="1" ht="12">
      <c r="A24" s="297"/>
      <c r="B24" s="293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D24" s="296"/>
      <c r="AE24" s="293"/>
      <c r="AF24" s="293"/>
      <c r="AG24" s="293"/>
    </row>
    <row r="25" spans="1:33" s="73" customFormat="1" ht="12">
      <c r="A25" s="299"/>
      <c r="B25" s="273" t="s">
        <v>246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D25" s="296"/>
      <c r="AE25" s="293"/>
      <c r="AF25" s="293"/>
      <c r="AG25" s="293"/>
    </row>
    <row r="26" spans="1:33">
      <c r="A26" s="288" t="s">
        <v>247</v>
      </c>
      <c r="B26" s="300" t="s">
        <v>248</v>
      </c>
      <c r="C26" s="350">
        <v>794419242</v>
      </c>
      <c r="D26" s="350">
        <v>885530424</v>
      </c>
      <c r="E26" s="350">
        <v>871453134</v>
      </c>
      <c r="F26" s="350">
        <v>867804588</v>
      </c>
      <c r="G26" s="350">
        <v>839889562</v>
      </c>
      <c r="H26" s="350">
        <v>802511362</v>
      </c>
      <c r="I26" s="350">
        <v>766806353</v>
      </c>
      <c r="J26" s="350">
        <v>763994212</v>
      </c>
      <c r="K26" s="350">
        <v>742419076</v>
      </c>
      <c r="L26" s="350">
        <v>736711606</v>
      </c>
      <c r="M26" s="350">
        <v>750634414</v>
      </c>
      <c r="N26" s="350">
        <v>809878204</v>
      </c>
      <c r="O26" s="350">
        <v>854785602</v>
      </c>
      <c r="P26" s="350">
        <v>898922680</v>
      </c>
      <c r="Q26" s="350">
        <v>940126334</v>
      </c>
      <c r="R26" s="350">
        <v>977779999</v>
      </c>
      <c r="S26" s="350">
        <v>1051207280</v>
      </c>
      <c r="T26" s="350">
        <v>1123204576</v>
      </c>
      <c r="U26" s="350">
        <v>1259050270</v>
      </c>
      <c r="V26" s="350">
        <v>1360937959</v>
      </c>
      <c r="W26" s="350">
        <f>ROUND(V26*(1+$AE26),0)</f>
        <v>1428984857</v>
      </c>
      <c r="X26" s="350">
        <f>ROUND(W26*(1+$AE26),0)</f>
        <v>1500434100</v>
      </c>
      <c r="Y26" s="350">
        <f>ROUND(X26*(1+$AE26),0)</f>
        <v>1575455805</v>
      </c>
      <c r="Z26" s="350">
        <f>ROUND(Y26*(1+$AE26),0)</f>
        <v>1654228595</v>
      </c>
      <c r="AA26" s="350">
        <f t="shared" ref="AA26:AB26" si="55">ROUND(Z26*(1+$AE26),0)</f>
        <v>1736940025</v>
      </c>
      <c r="AB26" s="350">
        <f t="shared" si="55"/>
        <v>1823787026</v>
      </c>
      <c r="AD26" s="967">
        <f>IFERROR(AVERAGE((M26-L26)/L26,(N26-M26)/M26,(O26-N26)/N26,(P26-O26)/O26,(Q26-P26)/P26,(R26-Q26)/Q26),"")</f>
        <v>4.8466131518399951E-2</v>
      </c>
      <c r="AE26" s="968">
        <v>0.05</v>
      </c>
      <c r="AF26" s="266"/>
      <c r="AG26" s="266" t="s">
        <v>245</v>
      </c>
    </row>
    <row r="27" spans="1:33">
      <c r="A27" s="461" t="s">
        <v>249</v>
      </c>
      <c r="B27" s="300" t="s">
        <v>250</v>
      </c>
      <c r="C27" s="280">
        <f>ROUND(C26*0.025,0)</f>
        <v>19860481</v>
      </c>
      <c r="D27" s="280">
        <f t="shared" ref="D27:O27" si="56">ROUND(D26*0.025,0)</f>
        <v>22138261</v>
      </c>
      <c r="E27" s="280">
        <f>ROUND(E26*0.025,0)</f>
        <v>21786328</v>
      </c>
      <c r="F27" s="280">
        <f t="shared" si="56"/>
        <v>21695115</v>
      </c>
      <c r="G27" s="280">
        <f t="shared" si="56"/>
        <v>20997239</v>
      </c>
      <c r="H27" s="280">
        <f t="shared" si="56"/>
        <v>20062784</v>
      </c>
      <c r="I27" s="280">
        <f t="shared" si="56"/>
        <v>19170159</v>
      </c>
      <c r="J27" s="280">
        <f>ROUND(J26*0.025,0)</f>
        <v>19099855</v>
      </c>
      <c r="K27" s="280">
        <f t="shared" si="56"/>
        <v>18560477</v>
      </c>
      <c r="L27" s="280">
        <f>ROUND(L26*0.025,0)</f>
        <v>18417790</v>
      </c>
      <c r="M27" s="280">
        <f t="shared" si="56"/>
        <v>18765860</v>
      </c>
      <c r="N27" s="280">
        <f>ROUND(N26*0.025,0)</f>
        <v>20246955</v>
      </c>
      <c r="O27" s="280">
        <f t="shared" si="56"/>
        <v>21369640</v>
      </c>
      <c r="P27" s="280">
        <f t="shared" ref="P27" si="57">ROUND(P26*0.025,0)</f>
        <v>22473067</v>
      </c>
      <c r="Q27" s="280">
        <f t="shared" ref="Q27:T27" si="58">ROUND(Q26*0.025,0)</f>
        <v>23503158</v>
      </c>
      <c r="R27" s="280">
        <f t="shared" si="58"/>
        <v>24444500</v>
      </c>
      <c r="S27" s="280">
        <f t="shared" si="58"/>
        <v>26280182</v>
      </c>
      <c r="T27" s="280">
        <f t="shared" si="58"/>
        <v>28080114</v>
      </c>
      <c r="U27" s="280">
        <f t="shared" ref="U27:Z27" si="59">IF(U26=0,T27,ROUND(U26*0.025,0))</f>
        <v>31476257</v>
      </c>
      <c r="V27" s="280">
        <f t="shared" si="59"/>
        <v>34023449</v>
      </c>
      <c r="W27" s="280">
        <f t="shared" si="59"/>
        <v>35724621</v>
      </c>
      <c r="X27" s="280">
        <f t="shared" si="59"/>
        <v>37510853</v>
      </c>
      <c r="Y27" s="280">
        <f t="shared" si="59"/>
        <v>39386395</v>
      </c>
      <c r="Z27" s="280">
        <f t="shared" si="59"/>
        <v>41355715</v>
      </c>
      <c r="AA27" s="280">
        <f t="shared" ref="AA27" si="60">IF(AA26=0,Z27,ROUND(AA26*0.025,0))</f>
        <v>43423501</v>
      </c>
      <c r="AB27" s="280">
        <f t="shared" ref="AB27" si="61">IF(AB26=0,AA27,ROUND(AB26*0.025,0))</f>
        <v>45594676</v>
      </c>
      <c r="AD27" s="266"/>
      <c r="AE27" s="266"/>
      <c r="AF27" s="266"/>
      <c r="AG27" s="266" t="s">
        <v>171</v>
      </c>
    </row>
    <row r="28" spans="1:33" s="938" customFormat="1" ht="12">
      <c r="A28" s="936"/>
      <c r="B28" s="824" t="s">
        <v>251</v>
      </c>
      <c r="C28" s="825">
        <f t="shared" ref="C28:P28" si="62">IF(C27=0,0,C27-C12)</f>
        <v>14770924</v>
      </c>
      <c r="D28" s="825">
        <f t="shared" si="62"/>
        <v>16810115</v>
      </c>
      <c r="E28" s="825">
        <f t="shared" si="62"/>
        <v>16213722</v>
      </c>
      <c r="F28" s="825">
        <f t="shared" si="62"/>
        <v>15853519</v>
      </c>
      <c r="G28" s="825">
        <f t="shared" si="62"/>
        <v>14960937</v>
      </c>
      <c r="H28" s="825">
        <f t="shared" si="62"/>
        <v>13044663</v>
      </c>
      <c r="I28" s="825">
        <f t="shared" si="62"/>
        <v>11911783</v>
      </c>
      <c r="J28" s="825">
        <f t="shared" si="62"/>
        <v>11602699</v>
      </c>
      <c r="K28" s="825">
        <f t="shared" si="62"/>
        <v>10797467</v>
      </c>
      <c r="L28" s="825">
        <f t="shared" si="62"/>
        <v>10346294</v>
      </c>
      <c r="M28" s="825">
        <f t="shared" si="62"/>
        <v>10418045</v>
      </c>
      <c r="N28" s="825">
        <f t="shared" si="62"/>
        <v>11557735</v>
      </c>
      <c r="O28" s="825">
        <f t="shared" si="62"/>
        <v>12319711</v>
      </c>
      <c r="P28" s="825">
        <f t="shared" si="62"/>
        <v>13015775</v>
      </c>
      <c r="Q28" s="825">
        <f>IF(Q27=0,0,Q27-Q12)</f>
        <v>13629357</v>
      </c>
      <c r="R28" s="825">
        <f t="shared" ref="R28:W28" si="63">IF(R27=0,0,R27-R12)</f>
        <v>14115609</v>
      </c>
      <c r="S28" s="825">
        <f t="shared" si="63"/>
        <v>15498837</v>
      </c>
      <c r="T28" s="825">
        <f t="shared" si="63"/>
        <v>16860833</v>
      </c>
      <c r="U28" s="825">
        <f t="shared" si="63"/>
        <v>19754533</v>
      </c>
      <c r="V28" s="825">
        <f t="shared" si="63"/>
        <v>21852337</v>
      </c>
      <c r="W28" s="825">
        <f t="shared" si="63"/>
        <v>23089617</v>
      </c>
      <c r="X28" s="825">
        <f t="shared" ref="X28:Y28" si="64">IF(X27=0,0,X27-X12)</f>
        <v>24399974</v>
      </c>
      <c r="Y28" s="825">
        <f t="shared" si="64"/>
        <v>25787744</v>
      </c>
      <c r="Z28" s="825">
        <f t="shared" ref="Z28:AB28" si="65">IF(Z27=0,0,Z27-Z12)</f>
        <v>27257098</v>
      </c>
      <c r="AA28" s="825">
        <f t="shared" si="65"/>
        <v>28812419</v>
      </c>
      <c r="AB28" s="825">
        <f t="shared" si="65"/>
        <v>30458316</v>
      </c>
      <c r="AD28" s="937"/>
      <c r="AE28" s="937"/>
      <c r="AF28" s="937"/>
      <c r="AG28" s="937" t="s">
        <v>171</v>
      </c>
    </row>
    <row r="29" spans="1:33">
      <c r="A29" s="379"/>
      <c r="B29" s="553"/>
      <c r="C29" s="869" t="str">
        <f>IF(C28&lt;0,"Over levy ceiling","")</f>
        <v/>
      </c>
      <c r="D29" s="869" t="str">
        <f t="shared" ref="D29:W29" si="66">IF(D28&lt;0,"Over levy ceiling","")</f>
        <v/>
      </c>
      <c r="E29" s="869" t="str">
        <f t="shared" si="66"/>
        <v/>
      </c>
      <c r="F29" s="869" t="str">
        <f t="shared" si="66"/>
        <v/>
      </c>
      <c r="G29" s="869" t="str">
        <f t="shared" si="66"/>
        <v/>
      </c>
      <c r="H29" s="869" t="str">
        <f t="shared" si="66"/>
        <v/>
      </c>
      <c r="I29" s="869" t="str">
        <f t="shared" si="66"/>
        <v/>
      </c>
      <c r="J29" s="869" t="str">
        <f t="shared" si="66"/>
        <v/>
      </c>
      <c r="K29" s="869" t="str">
        <f t="shared" si="66"/>
        <v/>
      </c>
      <c r="L29" s="869" t="str">
        <f t="shared" si="66"/>
        <v/>
      </c>
      <c r="M29" s="869" t="str">
        <f t="shared" si="66"/>
        <v/>
      </c>
      <c r="N29" s="869" t="str">
        <f t="shared" si="66"/>
        <v/>
      </c>
      <c r="O29" s="869" t="str">
        <f t="shared" si="66"/>
        <v/>
      </c>
      <c r="P29" s="869" t="str">
        <f t="shared" si="66"/>
        <v/>
      </c>
      <c r="Q29" s="869" t="str">
        <f t="shared" si="66"/>
        <v/>
      </c>
      <c r="R29" s="869" t="str">
        <f t="shared" si="66"/>
        <v/>
      </c>
      <c r="S29" s="869" t="str">
        <f t="shared" si="66"/>
        <v/>
      </c>
      <c r="T29" s="869" t="str">
        <f t="shared" si="66"/>
        <v/>
      </c>
      <c r="U29" s="869" t="str">
        <f t="shared" si="66"/>
        <v/>
      </c>
      <c r="V29" s="869" t="str">
        <f t="shared" si="66"/>
        <v/>
      </c>
      <c r="W29" s="869" t="str">
        <f t="shared" si="66"/>
        <v/>
      </c>
      <c r="X29" s="869" t="str">
        <f t="shared" ref="X29:Y29" si="67">IF(X28&lt;0,"Over levy ceiling","")</f>
        <v/>
      </c>
      <c r="Y29" s="869" t="str">
        <f t="shared" si="67"/>
        <v/>
      </c>
      <c r="Z29" s="869" t="str">
        <f t="shared" ref="Z29:AB29" si="68">IF(Z28&lt;0,"Over levy ceiling","")</f>
        <v/>
      </c>
      <c r="AA29" s="869" t="str">
        <f t="shared" si="68"/>
        <v/>
      </c>
      <c r="AB29" s="869" t="str">
        <f t="shared" si="68"/>
        <v/>
      </c>
      <c r="AG29" s="1" t="s">
        <v>252</v>
      </c>
    </row>
    <row r="30" spans="1:33">
      <c r="A30" s="270"/>
      <c r="B30" s="273" t="s">
        <v>253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6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D30" s="266"/>
      <c r="AE30" s="266"/>
      <c r="AF30" s="266"/>
      <c r="AG30" s="266"/>
    </row>
    <row r="31" spans="1:33" s="71" customFormat="1" ht="12">
      <c r="A31" s="288"/>
      <c r="B31" s="302" t="s">
        <v>254</v>
      </c>
      <c r="C31" s="278">
        <v>0</v>
      </c>
      <c r="D31" s="278">
        <v>0</v>
      </c>
      <c r="E31" s="278">
        <v>0</v>
      </c>
      <c r="F31" s="278">
        <v>0</v>
      </c>
      <c r="G31" s="278">
        <v>0</v>
      </c>
      <c r="H31" s="278">
        <v>0</v>
      </c>
      <c r="I31" s="278">
        <v>0</v>
      </c>
      <c r="J31" s="278">
        <v>0</v>
      </c>
      <c r="K31" s="278">
        <v>0</v>
      </c>
      <c r="L31" s="278">
        <v>0</v>
      </c>
      <c r="M31" s="278">
        <v>0</v>
      </c>
      <c r="N31" s="278">
        <v>0</v>
      </c>
      <c r="O31" s="278">
        <v>0</v>
      </c>
      <c r="P31" s="278">
        <v>0</v>
      </c>
      <c r="Q31" s="278">
        <v>0</v>
      </c>
      <c r="R31" s="278">
        <v>0</v>
      </c>
      <c r="S31" s="278">
        <v>0</v>
      </c>
      <c r="T31" s="278">
        <v>0</v>
      </c>
      <c r="U31" s="278">
        <v>162580</v>
      </c>
      <c r="V31" s="278">
        <v>135347</v>
      </c>
      <c r="W31" s="278">
        <v>0</v>
      </c>
      <c r="X31" s="278">
        <v>0</v>
      </c>
      <c r="Y31" s="278">
        <v>0</v>
      </c>
      <c r="Z31" s="278">
        <v>0</v>
      </c>
      <c r="AA31" s="278">
        <v>1</v>
      </c>
      <c r="AB31" s="278">
        <v>2</v>
      </c>
      <c r="AD31" s="247" t="str">
        <f>IFERROR(AVERAGE((M31-L31)/L31,(N31-M31)/M31,(O31-N31)/N31,(P31-O31)/O31,(Q31-P31)/P31,(R31-Q31)/Q31),"")</f>
        <v/>
      </c>
      <c r="AE31" s="296"/>
      <c r="AF31" s="296"/>
      <c r="AG31" s="266" t="s">
        <v>219</v>
      </c>
    </row>
    <row r="32" spans="1:33" s="71" customFormat="1" ht="12">
      <c r="A32" s="288"/>
      <c r="B32" s="303" t="s">
        <v>255</v>
      </c>
      <c r="C32" s="278">
        <v>0</v>
      </c>
      <c r="D32" s="278">
        <v>0</v>
      </c>
      <c r="E32" s="278">
        <v>0</v>
      </c>
      <c r="F32" s="278">
        <v>0</v>
      </c>
      <c r="G32" s="278">
        <v>0</v>
      </c>
      <c r="H32" s="278">
        <v>0</v>
      </c>
      <c r="I32" s="278">
        <v>0</v>
      </c>
      <c r="J32" s="278">
        <v>0</v>
      </c>
      <c r="K32" s="278">
        <v>0</v>
      </c>
      <c r="L32" s="278">
        <v>0</v>
      </c>
      <c r="M32" s="278">
        <v>0</v>
      </c>
      <c r="N32" s="278">
        <v>0</v>
      </c>
      <c r="O32" s="278">
        <v>0</v>
      </c>
      <c r="P32" s="278">
        <v>0</v>
      </c>
      <c r="Q32" s="278">
        <v>0</v>
      </c>
      <c r="R32" s="278">
        <v>0</v>
      </c>
      <c r="S32" s="278">
        <v>0</v>
      </c>
      <c r="T32" s="278">
        <v>0</v>
      </c>
      <c r="U32" s="278">
        <v>29962</v>
      </c>
      <c r="V32" s="278">
        <v>17970</v>
      </c>
      <c r="W32" s="278">
        <v>0</v>
      </c>
      <c r="X32" s="278">
        <v>0</v>
      </c>
      <c r="Y32" s="278">
        <v>0</v>
      </c>
      <c r="Z32" s="278">
        <v>0</v>
      </c>
      <c r="AA32" s="278">
        <v>1</v>
      </c>
      <c r="AB32" s="278">
        <v>2</v>
      </c>
      <c r="AD32" s="296" t="str">
        <f>IFERROR(AVERAGE((M32-L32)/L32,(N32-M32)/M32,(O32-N32)/N32,(P32-O32)/O32,(Q32-P32)/P32,(R32-Q32)/Q32),"")</f>
        <v/>
      </c>
      <c r="AE32" s="296"/>
      <c r="AF32" s="296"/>
      <c r="AG32" s="266" t="s">
        <v>219</v>
      </c>
    </row>
    <row r="33" spans="1:33" s="71" customFormat="1" ht="12">
      <c r="A33" s="288"/>
      <c r="B33" s="303" t="s">
        <v>256</v>
      </c>
      <c r="C33" s="278">
        <v>0</v>
      </c>
      <c r="D33" s="278">
        <v>0</v>
      </c>
      <c r="E33" s="278">
        <v>0</v>
      </c>
      <c r="F33" s="278">
        <v>0</v>
      </c>
      <c r="G33" s="278">
        <v>0</v>
      </c>
      <c r="H33" s="278">
        <v>0</v>
      </c>
      <c r="I33" s="278">
        <v>0</v>
      </c>
      <c r="J33" s="278">
        <v>0</v>
      </c>
      <c r="K33" s="278">
        <v>0</v>
      </c>
      <c r="L33" s="278">
        <v>0</v>
      </c>
      <c r="M33" s="278">
        <v>0</v>
      </c>
      <c r="N33" s="278">
        <v>0</v>
      </c>
      <c r="O33" s="278">
        <v>0</v>
      </c>
      <c r="P33" s="278">
        <v>0</v>
      </c>
      <c r="Q33" s="278">
        <v>0</v>
      </c>
      <c r="R33" s="278">
        <v>0</v>
      </c>
      <c r="S33" s="278">
        <v>0</v>
      </c>
      <c r="T33" s="278">
        <v>0</v>
      </c>
      <c r="U33" s="278">
        <v>0</v>
      </c>
      <c r="V33" s="278">
        <v>0</v>
      </c>
      <c r="W33" s="278">
        <v>0</v>
      </c>
      <c r="X33" s="278">
        <v>0</v>
      </c>
      <c r="Y33" s="278">
        <v>0</v>
      </c>
      <c r="Z33" s="278">
        <v>0</v>
      </c>
      <c r="AA33" s="278">
        <v>1</v>
      </c>
      <c r="AB33" s="278">
        <v>2</v>
      </c>
      <c r="AD33" s="296" t="str">
        <f>IFERROR(AVERAGE((M33-L33)/L33,(N33-M33)/M33,(O33-N33)/N33,(P33-O33)/O33,(Q33-P33)/P33,(R33-Q33)/Q33),"")</f>
        <v/>
      </c>
      <c r="AE33" s="296"/>
      <c r="AF33" s="296"/>
      <c r="AG33" s="266" t="s">
        <v>219</v>
      </c>
    </row>
    <row r="34" spans="1:33" s="71" customFormat="1" ht="12">
      <c r="A34" s="288"/>
      <c r="B34" s="323" t="s">
        <v>257</v>
      </c>
      <c r="C34" s="324">
        <v>0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  <c r="O34" s="324">
        <v>0</v>
      </c>
      <c r="P34" s="324">
        <v>0</v>
      </c>
      <c r="Q34" s="324">
        <v>0</v>
      </c>
      <c r="R34" s="324">
        <v>0</v>
      </c>
      <c r="S34" s="324">
        <v>0</v>
      </c>
      <c r="T34" s="324">
        <v>0</v>
      </c>
      <c r="U34" s="324">
        <v>29950</v>
      </c>
      <c r="V34" s="324">
        <v>6297</v>
      </c>
      <c r="W34" s="324">
        <v>0</v>
      </c>
      <c r="X34" s="324">
        <v>0</v>
      </c>
      <c r="Y34" s="324">
        <v>0</v>
      </c>
      <c r="Z34" s="324">
        <v>0</v>
      </c>
      <c r="AA34" s="324">
        <v>1</v>
      </c>
      <c r="AB34" s="324">
        <v>2</v>
      </c>
      <c r="AD34" s="247" t="str">
        <f>IFERROR(AVERAGE((M34-L34)/L34,(N34-M34)/M34,(O34-N34)/N34,(P34-O34)/O34,(Q34-P34)/P34,(R34-Q34)/Q34),"")</f>
        <v/>
      </c>
      <c r="AE34" s="296"/>
      <c r="AF34" s="296"/>
      <c r="AG34" s="266" t="s">
        <v>219</v>
      </c>
    </row>
    <row r="35" spans="1:33" s="74" customFormat="1" ht="12.75" thickBot="1">
      <c r="A35" s="461" t="s">
        <v>258</v>
      </c>
      <c r="B35" s="304" t="s">
        <v>259</v>
      </c>
      <c r="C35" s="305">
        <f>SUM(C31:C34)</f>
        <v>0</v>
      </c>
      <c r="D35" s="305">
        <v>111350</v>
      </c>
      <c r="E35" s="305">
        <v>111256</v>
      </c>
      <c r="F35" s="305">
        <v>129675</v>
      </c>
      <c r="G35" s="305">
        <v>48666</v>
      </c>
      <c r="H35" s="305">
        <v>55911</v>
      </c>
      <c r="I35" s="305">
        <v>64802</v>
      </c>
      <c r="J35" s="305">
        <v>57321</v>
      </c>
      <c r="K35" s="305">
        <v>75950</v>
      </c>
      <c r="L35" s="305">
        <v>114411</v>
      </c>
      <c r="M35" s="305">
        <v>74532</v>
      </c>
      <c r="N35" s="305">
        <v>132710</v>
      </c>
      <c r="O35" s="305">
        <v>143478</v>
      </c>
      <c r="P35" s="305">
        <v>181115</v>
      </c>
      <c r="Q35" s="305">
        <v>180077</v>
      </c>
      <c r="R35" s="305">
        <v>208245</v>
      </c>
      <c r="S35" s="305">
        <v>211444</v>
      </c>
      <c r="T35" s="305">
        <v>169253</v>
      </c>
      <c r="U35" s="305">
        <f>SUM(U31:U34)</f>
        <v>222492</v>
      </c>
      <c r="V35" s="305">
        <f>SUM(V31:V34)</f>
        <v>159614</v>
      </c>
      <c r="W35" s="305">
        <v>160000</v>
      </c>
      <c r="X35" s="305">
        <v>160000</v>
      </c>
      <c r="Y35" s="305">
        <v>160000</v>
      </c>
      <c r="Z35" s="305">
        <v>160000</v>
      </c>
      <c r="AA35" s="305">
        <v>160001</v>
      </c>
      <c r="AB35" s="305">
        <v>160002</v>
      </c>
      <c r="AD35" s="247">
        <f>IFERROR(AVERAGE((M35-L35)/L35,(N35-M35)/M35,(O35-N35)/N35,(P35-O35)/O35,(Q35-P35)/P35,(R35-Q35)/Q35),"")</f>
        <v>0.15436123765740842</v>
      </c>
      <c r="AE35" s="306"/>
      <c r="AF35" s="306"/>
      <c r="AG35" s="266" t="s">
        <v>171</v>
      </c>
    </row>
    <row r="36" spans="1:33" s="73" customFormat="1" ht="12.75" thickTop="1">
      <c r="A36" s="297"/>
      <c r="B36" s="822" t="s">
        <v>240</v>
      </c>
      <c r="C36" s="826"/>
      <c r="D36" s="823" t="str">
        <f>IFERROR((D35-C35)/C35,"")</f>
        <v/>
      </c>
      <c r="E36" s="823">
        <f t="shared" ref="E36:Z36" si="69">IFERROR((E35-D35)/D35,"")</f>
        <v>-8.4418500224517292E-4</v>
      </c>
      <c r="F36" s="823">
        <f t="shared" si="69"/>
        <v>0.16555511612856835</v>
      </c>
      <c r="G36" s="823">
        <f t="shared" si="69"/>
        <v>-0.62470792365529204</v>
      </c>
      <c r="H36" s="823">
        <f t="shared" si="69"/>
        <v>0.14887190235482678</v>
      </c>
      <c r="I36" s="823">
        <f t="shared" si="69"/>
        <v>0.15902058628892346</v>
      </c>
      <c r="J36" s="823">
        <f t="shared" si="69"/>
        <v>-0.11544396777877226</v>
      </c>
      <c r="K36" s="823">
        <f t="shared" si="69"/>
        <v>0.3249943301756773</v>
      </c>
      <c r="L36" s="823">
        <f t="shared" si="69"/>
        <v>0.50639894667544438</v>
      </c>
      <c r="M36" s="823">
        <f t="shared" si="69"/>
        <v>-0.34855914204053806</v>
      </c>
      <c r="N36" s="823">
        <f t="shared" si="69"/>
        <v>0.7805774700799657</v>
      </c>
      <c r="O36" s="823">
        <f t="shared" si="69"/>
        <v>8.1139326350689475E-2</v>
      </c>
      <c r="P36" s="823">
        <f t="shared" si="69"/>
        <v>0.26231896179205172</v>
      </c>
      <c r="Q36" s="823">
        <f t="shared" si="69"/>
        <v>-5.7311652817270799E-3</v>
      </c>
      <c r="R36" s="823">
        <f t="shared" si="69"/>
        <v>0.15642197504400895</v>
      </c>
      <c r="S36" s="823">
        <f t="shared" si="69"/>
        <v>1.5361713366467382E-2</v>
      </c>
      <c r="T36" s="823">
        <f t="shared" si="69"/>
        <v>-0.19953746618490001</v>
      </c>
      <c r="U36" s="823">
        <f t="shared" si="69"/>
        <v>0.31455277011338056</v>
      </c>
      <c r="V36" s="823">
        <f t="shared" si="69"/>
        <v>-0.2826079139924132</v>
      </c>
      <c r="W36" s="823">
        <f t="shared" si="69"/>
        <v>2.418334231333091E-3</v>
      </c>
      <c r="X36" s="823">
        <f t="shared" si="69"/>
        <v>0</v>
      </c>
      <c r="Y36" s="823">
        <f t="shared" si="69"/>
        <v>0</v>
      </c>
      <c r="Z36" s="823">
        <f t="shared" si="69"/>
        <v>0</v>
      </c>
      <c r="AA36" s="823">
        <f t="shared" ref="AA36" si="70">IFERROR((AA35-Z35)/Z35,"")</f>
        <v>6.2500000000000003E-6</v>
      </c>
      <c r="AB36" s="823">
        <f t="shared" ref="AB36" si="71">IFERROR((AB35-AA35)/AA35,"")</f>
        <v>6.2499609377441391E-6</v>
      </c>
      <c r="AD36" s="296"/>
      <c r="AE36" s="293"/>
      <c r="AF36" s="293"/>
      <c r="AG36" s="293"/>
    </row>
    <row r="37" spans="1:33" s="73" customFormat="1" ht="12">
      <c r="A37" s="211"/>
      <c r="B37" s="71"/>
      <c r="C37" s="183"/>
      <c r="D37" s="183"/>
      <c r="E37" s="183"/>
      <c r="F37" s="183"/>
      <c r="G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D37" s="71"/>
    </row>
    <row r="38" spans="1:33" s="73" customFormat="1" ht="12">
      <c r="A38" s="211"/>
      <c r="B38" s="724" t="s">
        <v>260</v>
      </c>
      <c r="C38" s="183"/>
      <c r="D38" s="183"/>
      <c r="E38" s="183"/>
      <c r="F38" s="183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D38" s="71"/>
    </row>
    <row r="39" spans="1:33" s="73" customFormat="1" ht="12">
      <c r="A39" s="211"/>
      <c r="B39" s="736" t="s">
        <v>261</v>
      </c>
      <c r="C39" s="735">
        <f>+Debt!C7</f>
        <v>0</v>
      </c>
      <c r="D39" s="735">
        <f>+Debt!D7</f>
        <v>0</v>
      </c>
      <c r="E39" s="735">
        <f>+Debt!E7</f>
        <v>0</v>
      </c>
      <c r="F39" s="735">
        <f>+Debt!F7</f>
        <v>0</v>
      </c>
      <c r="G39" s="735">
        <f>+Debt!G7</f>
        <v>0</v>
      </c>
      <c r="H39" s="735">
        <f>+Debt!H7</f>
        <v>0</v>
      </c>
      <c r="I39" s="735">
        <f>+Debt!I7</f>
        <v>0</v>
      </c>
      <c r="J39" s="735">
        <v>424077</v>
      </c>
      <c r="K39" s="735">
        <f>+Debt!K7</f>
        <v>0</v>
      </c>
      <c r="L39" s="735">
        <f>+Debt!L7</f>
        <v>0</v>
      </c>
      <c r="M39" s="735">
        <f>+Debt!M7</f>
        <v>0</v>
      </c>
      <c r="N39" s="735">
        <f>+Debt!N7</f>
        <v>0</v>
      </c>
      <c r="O39" s="735">
        <f>+Debt!O7</f>
        <v>0</v>
      </c>
      <c r="P39" s="735">
        <f>+Debt!P7</f>
        <v>0</v>
      </c>
      <c r="Q39" s="735">
        <f>+Debt!Q7</f>
        <v>0</v>
      </c>
      <c r="R39" s="735">
        <f>+Debt!R7</f>
        <v>0</v>
      </c>
      <c r="S39" s="735">
        <f>+Debt!S7</f>
        <v>0</v>
      </c>
      <c r="T39" s="735">
        <f>+Debt!T7</f>
        <v>199675</v>
      </c>
      <c r="U39" s="735">
        <f>+Debt!U7</f>
        <v>477213</v>
      </c>
      <c r="V39" s="735">
        <f>+Debt!V7</f>
        <v>504563</v>
      </c>
      <c r="W39" s="735">
        <f>+Debt!W7</f>
        <v>740327</v>
      </c>
      <c r="X39" s="735">
        <f>+Debt!X7</f>
        <v>2710026</v>
      </c>
      <c r="Y39" s="735">
        <f>+Debt!Y7</f>
        <v>3388850</v>
      </c>
      <c r="Z39" s="735">
        <f>+Debt!Z7</f>
        <v>3388300</v>
      </c>
      <c r="AA39" s="735">
        <f>+Debt!AA7</f>
        <v>3387600</v>
      </c>
      <c r="AB39" s="735">
        <f>+Debt!AB7</f>
        <v>3386263</v>
      </c>
      <c r="AD39" s="71"/>
      <c r="AE39" s="447" t="s">
        <v>262</v>
      </c>
      <c r="AG39" s="71" t="s">
        <v>263</v>
      </c>
    </row>
    <row r="40" spans="1:33" s="73" customFormat="1" ht="12">
      <c r="A40" s="211"/>
      <c r="B40" s="736" t="s">
        <v>264</v>
      </c>
      <c r="C40" s="735">
        <f>+Debt!C13</f>
        <v>0</v>
      </c>
      <c r="D40" s="735">
        <f>+Debt!D13</f>
        <v>0</v>
      </c>
      <c r="E40" s="735">
        <f>+Debt!E13</f>
        <v>0</v>
      </c>
      <c r="F40" s="735">
        <f>+Debt!F13</f>
        <v>0</v>
      </c>
      <c r="G40" s="735">
        <f>+Debt!G13</f>
        <v>0</v>
      </c>
      <c r="H40" s="735">
        <f>+Debt!H13</f>
        <v>0</v>
      </c>
      <c r="I40" s="735">
        <f>+Debt!I13</f>
        <v>0</v>
      </c>
      <c r="J40" s="735">
        <f>+Debt!J13</f>
        <v>0</v>
      </c>
      <c r="K40" s="735">
        <f>+Debt!K13</f>
        <v>0</v>
      </c>
      <c r="L40" s="735">
        <f>+Debt!L13</f>
        <v>0</v>
      </c>
      <c r="M40" s="735">
        <f>+Debt!M13</f>
        <v>0</v>
      </c>
      <c r="N40" s="735">
        <f>+Debt!N13</f>
        <v>0</v>
      </c>
      <c r="O40" s="735">
        <f>+Debt!O13</f>
        <v>0</v>
      </c>
      <c r="P40" s="735">
        <f>+Debt!P13</f>
        <v>0</v>
      </c>
      <c r="Q40" s="735">
        <f>+Debt!Q13</f>
        <v>0</v>
      </c>
      <c r="R40" s="735">
        <f>+Debt!R13</f>
        <v>0</v>
      </c>
      <c r="S40" s="735">
        <f>+Debt!S13</f>
        <v>0</v>
      </c>
      <c r="T40" s="735">
        <f>+Debt!T13</f>
        <v>0</v>
      </c>
      <c r="U40" s="735">
        <f>+Debt!U13</f>
        <v>558412</v>
      </c>
      <c r="V40" s="735">
        <f>+Debt!V13</f>
        <v>764070</v>
      </c>
      <c r="W40" s="735">
        <f>+Debt!W13</f>
        <v>1116183</v>
      </c>
      <c r="X40" s="735">
        <f>+Debt!X13</f>
        <v>1157316</v>
      </c>
      <c r="Y40" s="735">
        <f>+Debt!Y13</f>
        <v>1270415</v>
      </c>
      <c r="Z40" s="735">
        <f>+Debt!Z13</f>
        <v>1298156</v>
      </c>
      <c r="AA40" s="735">
        <f>+Debt!AA13</f>
        <v>1297986</v>
      </c>
      <c r="AB40" s="735">
        <f>+Debt!AB13</f>
        <v>1297967</v>
      </c>
      <c r="AD40" s="71"/>
      <c r="AG40" s="71" t="s">
        <v>263</v>
      </c>
    </row>
    <row r="41" spans="1:33" s="73" customFormat="1" ht="12">
      <c r="A41" s="461" t="s">
        <v>265</v>
      </c>
      <c r="B41" s="741" t="s">
        <v>266</v>
      </c>
      <c r="C41" s="735">
        <v>0</v>
      </c>
      <c r="D41" s="735">
        <v>0</v>
      </c>
      <c r="E41" s="735">
        <v>0</v>
      </c>
      <c r="F41" s="735">
        <v>0</v>
      </c>
      <c r="G41" s="735">
        <v>0</v>
      </c>
      <c r="H41" s="735">
        <v>0</v>
      </c>
      <c r="I41" s="735">
        <v>0</v>
      </c>
      <c r="J41" s="953">
        <v>1453067</v>
      </c>
      <c r="K41" s="735">
        <v>0</v>
      </c>
      <c r="L41" s="735">
        <v>0</v>
      </c>
      <c r="M41" s="735">
        <v>0</v>
      </c>
      <c r="N41" s="735">
        <v>0</v>
      </c>
      <c r="O41" s="735">
        <v>0</v>
      </c>
      <c r="P41" s="735">
        <v>0</v>
      </c>
      <c r="Q41" s="735">
        <v>0</v>
      </c>
      <c r="R41" s="735">
        <v>0</v>
      </c>
      <c r="S41" s="735">
        <v>0</v>
      </c>
      <c r="T41" s="735">
        <v>0</v>
      </c>
      <c r="U41" s="735">
        <v>0</v>
      </c>
      <c r="V41" s="735">
        <v>0</v>
      </c>
      <c r="W41" s="735">
        <v>0</v>
      </c>
      <c r="X41" s="735">
        <v>0</v>
      </c>
      <c r="Y41" s="735">
        <v>0</v>
      </c>
      <c r="Z41" s="735">
        <v>0</v>
      </c>
      <c r="AA41" s="735">
        <v>1</v>
      </c>
      <c r="AB41" s="735">
        <v>2</v>
      </c>
      <c r="AD41" s="71"/>
      <c r="AG41" s="266" t="s">
        <v>219</v>
      </c>
    </row>
    <row r="42" spans="1:33" s="73" customFormat="1" ht="13.5" thickBot="1">
      <c r="B42" s="740" t="s">
        <v>267</v>
      </c>
      <c r="C42" s="737">
        <f>SUM(C39:C41)</f>
        <v>0</v>
      </c>
      <c r="D42" s="737">
        <v>688242</v>
      </c>
      <c r="E42" s="737">
        <v>192196</v>
      </c>
      <c r="F42" s="737">
        <v>588206</v>
      </c>
      <c r="G42" s="737">
        <v>444543</v>
      </c>
      <c r="H42" s="737">
        <v>440480</v>
      </c>
      <c r="I42" s="737">
        <v>222322</v>
      </c>
      <c r="J42" s="737">
        <f>SUM(J39:J41)</f>
        <v>1877144</v>
      </c>
      <c r="K42" s="737">
        <v>447346</v>
      </c>
      <c r="L42" s="737">
        <v>649846</v>
      </c>
      <c r="M42" s="737">
        <v>1230208</v>
      </c>
      <c r="N42" s="737">
        <v>1292598</v>
      </c>
      <c r="O42" s="737">
        <v>1300225</v>
      </c>
      <c r="P42" s="737">
        <v>1154247</v>
      </c>
      <c r="Q42" s="737">
        <v>1172256</v>
      </c>
      <c r="R42" s="737">
        <v>959795</v>
      </c>
      <c r="S42" s="737">
        <v>929046</v>
      </c>
      <c r="T42" s="737">
        <v>817940</v>
      </c>
      <c r="U42" s="737">
        <f>SUM(U39:U41)</f>
        <v>1035625</v>
      </c>
      <c r="V42" s="737">
        <f t="shared" ref="V42:Z42" si="72">SUM(V39:V41)</f>
        <v>1268633</v>
      </c>
      <c r="W42" s="737">
        <f t="shared" si="72"/>
        <v>1856510</v>
      </c>
      <c r="X42" s="737">
        <f t="shared" si="72"/>
        <v>3867342</v>
      </c>
      <c r="Y42" s="737">
        <f t="shared" si="72"/>
        <v>4659265</v>
      </c>
      <c r="Z42" s="737">
        <f t="shared" si="72"/>
        <v>4686456</v>
      </c>
      <c r="AA42" s="737">
        <f t="shared" ref="AA42:AB42" si="73">SUM(AA39:AA41)</f>
        <v>4685587</v>
      </c>
      <c r="AB42" s="737">
        <f t="shared" si="73"/>
        <v>4684232</v>
      </c>
      <c r="AD42" s="71"/>
      <c r="AG42" s="266" t="s">
        <v>171</v>
      </c>
    </row>
    <row r="43" spans="1:33" s="73" customFormat="1" ht="12.75" thickTop="1">
      <c r="A43" s="211"/>
      <c r="B43" s="724"/>
      <c r="C43" s="183"/>
      <c r="D43" s="183"/>
      <c r="E43" s="183"/>
      <c r="F43" s="183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D43" s="71"/>
    </row>
    <row r="44" spans="1:33" s="73" customFormat="1" ht="12">
      <c r="A44" s="299"/>
      <c r="B44" s="273" t="s">
        <v>268</v>
      </c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D44" s="296"/>
      <c r="AE44" s="293"/>
      <c r="AF44" s="293"/>
      <c r="AG44" s="293"/>
    </row>
    <row r="45" spans="1:33" s="73" customFormat="1" ht="12" customHeight="1">
      <c r="A45" s="738" t="s">
        <v>269</v>
      </c>
      <c r="B45" s="325" t="s">
        <v>270</v>
      </c>
      <c r="C45" s="278">
        <v>71860.44</v>
      </c>
      <c r="D45" s="278">
        <v>76981.52</v>
      </c>
      <c r="E45" s="278">
        <v>56668.74</v>
      </c>
      <c r="F45" s="278">
        <v>93125.96</v>
      </c>
      <c r="G45" s="278">
        <v>68772.34</v>
      </c>
      <c r="H45" s="278">
        <v>64247.65</v>
      </c>
      <c r="I45" s="278">
        <v>72009.78</v>
      </c>
      <c r="J45" s="278">
        <v>78824</v>
      </c>
      <c r="K45" s="278">
        <v>83112.350000000006</v>
      </c>
      <c r="L45" s="278">
        <v>82279.7</v>
      </c>
      <c r="M45" s="278">
        <v>77330.7</v>
      </c>
      <c r="N45" s="278">
        <v>79988.320000000007</v>
      </c>
      <c r="O45" s="278">
        <v>90688.14</v>
      </c>
      <c r="P45" s="278">
        <v>103579.03</v>
      </c>
      <c r="Q45" s="278">
        <v>107736.83</v>
      </c>
      <c r="R45" s="278">
        <v>120848.93</v>
      </c>
      <c r="S45" s="278">
        <v>92134.11</v>
      </c>
      <c r="T45" s="278">
        <v>117183.82</v>
      </c>
      <c r="U45" s="278">
        <v>92778.15</v>
      </c>
      <c r="V45" s="278">
        <v>98140.09</v>
      </c>
      <c r="W45" s="278">
        <f>ROUND(V45*(1+$AE45),0)</f>
        <v>102066</v>
      </c>
      <c r="X45" s="278">
        <f>ROUND(W45*(1+$AE45),0)</f>
        <v>106149</v>
      </c>
      <c r="Y45" s="278">
        <f>ROUND(X45*(1+$AE45),0)</f>
        <v>110395</v>
      </c>
      <c r="Z45" s="278">
        <f>ROUND(Y45*(1+$AE45),0)</f>
        <v>114811</v>
      </c>
      <c r="AA45" s="278">
        <f t="shared" ref="AA45:AB45" si="74">ROUND(Z45*(1+$AE45),0)</f>
        <v>119403</v>
      </c>
      <c r="AB45" s="278">
        <f t="shared" si="74"/>
        <v>124179</v>
      </c>
      <c r="AD45" s="247">
        <f>IFERROR(AVERAGE((M45-L45)/L45,(N45-M45)/M45,(O45-N45)/N45,(P45-O45)/O45,(Q45-P45)/P45,(R45-Q45)/Q45),"")</f>
        <v>6.866287161221156E-2</v>
      </c>
      <c r="AE45" s="307">
        <v>0.04</v>
      </c>
      <c r="AF45" s="307"/>
      <c r="AG45" s="266" t="s">
        <v>219</v>
      </c>
    </row>
    <row r="46" spans="1:33" s="73" customFormat="1" ht="12.75" thickBot="1">
      <c r="A46" s="299"/>
      <c r="B46" s="304" t="s">
        <v>271</v>
      </c>
      <c r="C46" s="305">
        <f>C45</f>
        <v>71860.44</v>
      </c>
      <c r="D46" s="305">
        <f t="shared" ref="D46:U46" si="75">D45</f>
        <v>76981.52</v>
      </c>
      <c r="E46" s="305">
        <f t="shared" si="75"/>
        <v>56668.74</v>
      </c>
      <c r="F46" s="305">
        <f t="shared" si="75"/>
        <v>93125.96</v>
      </c>
      <c r="G46" s="305">
        <f t="shared" si="75"/>
        <v>68772.34</v>
      </c>
      <c r="H46" s="305">
        <f t="shared" si="75"/>
        <v>64247.65</v>
      </c>
      <c r="I46" s="305">
        <f t="shared" si="75"/>
        <v>72009.78</v>
      </c>
      <c r="J46" s="305">
        <f t="shared" si="75"/>
        <v>78824</v>
      </c>
      <c r="K46" s="305">
        <f t="shared" si="75"/>
        <v>83112.350000000006</v>
      </c>
      <c r="L46" s="305">
        <f t="shared" si="75"/>
        <v>82279.7</v>
      </c>
      <c r="M46" s="305">
        <f t="shared" si="75"/>
        <v>77330.7</v>
      </c>
      <c r="N46" s="305">
        <f t="shared" si="75"/>
        <v>79988.320000000007</v>
      </c>
      <c r="O46" s="305">
        <f t="shared" si="75"/>
        <v>90688.14</v>
      </c>
      <c r="P46" s="305">
        <f t="shared" si="75"/>
        <v>103579.03</v>
      </c>
      <c r="Q46" s="305">
        <f t="shared" si="75"/>
        <v>107736.83</v>
      </c>
      <c r="R46" s="305">
        <f t="shared" si="75"/>
        <v>120848.93</v>
      </c>
      <c r="S46" s="305">
        <f t="shared" si="75"/>
        <v>92134.11</v>
      </c>
      <c r="T46" s="305">
        <f t="shared" si="75"/>
        <v>117183.82</v>
      </c>
      <c r="U46" s="305">
        <f t="shared" si="75"/>
        <v>92778.15</v>
      </c>
      <c r="V46" s="305">
        <f t="shared" ref="V46:W46" si="76">V45</f>
        <v>98140.09</v>
      </c>
      <c r="W46" s="305">
        <f t="shared" si="76"/>
        <v>102066</v>
      </c>
      <c r="X46" s="305">
        <f t="shared" ref="X46:Y46" si="77">X45</f>
        <v>106149</v>
      </c>
      <c r="Y46" s="305">
        <f t="shared" si="77"/>
        <v>110395</v>
      </c>
      <c r="Z46" s="305">
        <f t="shared" ref="Z46:AB46" si="78">Z45</f>
        <v>114811</v>
      </c>
      <c r="AA46" s="305">
        <f t="shared" si="78"/>
        <v>119403</v>
      </c>
      <c r="AB46" s="305">
        <f t="shared" si="78"/>
        <v>124179</v>
      </c>
      <c r="AD46" s="296"/>
      <c r="AE46" s="293"/>
      <c r="AF46" s="293"/>
      <c r="AG46" s="266" t="s">
        <v>171</v>
      </c>
    </row>
    <row r="47" spans="1:33" s="73" customFormat="1" ht="12.75" thickTop="1">
      <c r="A47" s="299"/>
      <c r="B47" s="822" t="s">
        <v>240</v>
      </c>
      <c r="C47" s="826"/>
      <c r="D47" s="826">
        <f>IFERROR((D46-C46)/C46,"")</f>
        <v>7.1264244972616395E-2</v>
      </c>
      <c r="E47" s="826">
        <f t="shared" ref="E47:U47" si="79">IFERROR((E46-D46)/D46,"")</f>
        <v>-0.26386566542203904</v>
      </c>
      <c r="F47" s="826">
        <f t="shared" si="79"/>
        <v>0.64333916723752826</v>
      </c>
      <c r="G47" s="826">
        <f t="shared" si="79"/>
        <v>-0.26151268668800848</v>
      </c>
      <c r="H47" s="826">
        <f t="shared" si="79"/>
        <v>-6.5792293820451583E-2</v>
      </c>
      <c r="I47" s="826">
        <f t="shared" si="79"/>
        <v>0.12081578081065995</v>
      </c>
      <c r="J47" s="826">
        <f t="shared" si="79"/>
        <v>9.4629090659629864E-2</v>
      </c>
      <c r="K47" s="826">
        <f t="shared" si="79"/>
        <v>5.4404115497817998E-2</v>
      </c>
      <c r="L47" s="826">
        <f t="shared" si="79"/>
        <v>-1.0018366704827968E-2</v>
      </c>
      <c r="M47" s="826">
        <f t="shared" si="79"/>
        <v>-6.0148493492319495E-2</v>
      </c>
      <c r="N47" s="826">
        <f t="shared" si="79"/>
        <v>3.4366946115837696E-2</v>
      </c>
      <c r="O47" s="826">
        <f t="shared" si="79"/>
        <v>0.13376728002288324</v>
      </c>
      <c r="P47" s="826">
        <f t="shared" si="79"/>
        <v>0.14214526838900873</v>
      </c>
      <c r="Q47" s="826">
        <f t="shared" si="79"/>
        <v>4.0141329765300979E-2</v>
      </c>
      <c r="R47" s="826">
        <f t="shared" si="79"/>
        <v>0.12170489887255817</v>
      </c>
      <c r="S47" s="826">
        <f t="shared" si="79"/>
        <v>-0.23760922004026014</v>
      </c>
      <c r="T47" s="826">
        <f t="shared" si="79"/>
        <v>0.27188312775800411</v>
      </c>
      <c r="U47" s="826">
        <f t="shared" si="79"/>
        <v>-0.20826825751200131</v>
      </c>
      <c r="V47" s="826">
        <f t="shared" ref="V47" si="80">IFERROR((V46-U46)/U46,"")</f>
        <v>5.7793133404794153E-2</v>
      </c>
      <c r="W47" s="826">
        <f t="shared" ref="W47" si="81">IFERROR((W46-V46)/V46,"")</f>
        <v>4.0003122067648438E-2</v>
      </c>
      <c r="X47" s="826">
        <f t="shared" ref="X47" si="82">IFERROR((X46-W46)/W46,"")</f>
        <v>4.0003527129504439E-2</v>
      </c>
      <c r="Y47" s="826">
        <f t="shared" ref="Y47" si="83">IFERROR((Y46-X46)/X46,"")</f>
        <v>4.0000376828797257E-2</v>
      </c>
      <c r="Z47" s="826">
        <f t="shared" ref="Z47" si="84">IFERROR((Z46-Y46)/Y46,"")</f>
        <v>4.0001811676253454E-2</v>
      </c>
      <c r="AA47" s="826">
        <f t="shared" ref="AA47" si="85">IFERROR((AA46-Z46)/Z46,"")</f>
        <v>3.999616761460139E-2</v>
      </c>
      <c r="AB47" s="826">
        <f t="shared" ref="AB47" si="86">IFERROR((AB46-AA46)/AA46,"")</f>
        <v>3.9998995000125624E-2</v>
      </c>
      <c r="AD47" s="296"/>
      <c r="AE47" s="293"/>
      <c r="AF47" s="293"/>
      <c r="AG47" s="293"/>
    </row>
    <row r="48" spans="1:33" s="73" customFormat="1" ht="12">
      <c r="A48" s="299"/>
      <c r="B48" s="293"/>
      <c r="C48" s="298"/>
      <c r="D48" s="30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D48" s="296"/>
      <c r="AE48" s="293"/>
      <c r="AF48" s="293"/>
      <c r="AG48" s="293"/>
    </row>
    <row r="49" spans="1:33" s="73" customFormat="1" ht="12">
      <c r="A49" s="299"/>
      <c r="B49" s="293"/>
      <c r="C49" s="298"/>
      <c r="D49" s="30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D49" s="296"/>
      <c r="AE49" s="293"/>
      <c r="AF49" s="293"/>
      <c r="AG49" s="293"/>
    </row>
    <row r="50" spans="1:33" s="73" customFormat="1" ht="12" customHeight="1">
      <c r="A50" s="377" t="s">
        <v>142</v>
      </c>
      <c r="B50" s="374" t="s">
        <v>272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D50" s="71"/>
    </row>
    <row r="51" spans="1:33" s="73" customFormat="1" ht="12" customHeight="1">
      <c r="A51" s="378" t="s">
        <v>217</v>
      </c>
      <c r="B51" s="374" t="s">
        <v>273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D51" s="71"/>
    </row>
    <row r="52" spans="1:33" s="73" customFormat="1" ht="12" customHeight="1">
      <c r="A52" s="378" t="s">
        <v>220</v>
      </c>
      <c r="B52" s="375" t="s">
        <v>274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D52" s="71"/>
    </row>
    <row r="53" spans="1:33" s="73" customFormat="1" ht="12" customHeight="1">
      <c r="A53" s="378" t="s">
        <v>222</v>
      </c>
      <c r="B53" s="374" t="s">
        <v>275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182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D53" s="71"/>
    </row>
    <row r="54" spans="1:33" s="73" customFormat="1" ht="12" customHeight="1">
      <c r="A54" s="379" t="s">
        <v>226</v>
      </c>
      <c r="B54" s="374" t="s">
        <v>276</v>
      </c>
      <c r="C54" s="180"/>
      <c r="D54" s="180"/>
      <c r="E54" s="180"/>
      <c r="F54" s="180"/>
      <c r="G54" s="180"/>
      <c r="H54" s="180"/>
      <c r="I54" s="180"/>
      <c r="J54" s="180"/>
      <c r="K54" s="180"/>
      <c r="L54" s="181"/>
      <c r="M54" s="182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D54" s="71"/>
    </row>
    <row r="55" spans="1:33" s="73" customFormat="1" ht="12" customHeight="1">
      <c r="A55" s="379" t="s">
        <v>229</v>
      </c>
      <c r="B55" s="374" t="s">
        <v>277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1"/>
      <c r="M55" s="182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D55" s="71"/>
    </row>
    <row r="56" spans="1:33" s="73" customFormat="1" ht="12" customHeight="1">
      <c r="A56" s="380" t="s">
        <v>232</v>
      </c>
      <c r="B56" s="374" t="s">
        <v>277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1"/>
      <c r="M56" s="182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D56" s="71"/>
    </row>
    <row r="57" spans="1:33" customFormat="1" ht="12" customHeight="1">
      <c r="A57" s="288" t="s">
        <v>238</v>
      </c>
      <c r="B57" s="374" t="s">
        <v>278</v>
      </c>
      <c r="AG57" s="4"/>
    </row>
    <row r="58" spans="1:33" s="73" customFormat="1" ht="12" customHeight="1">
      <c r="A58" s="210" t="s">
        <v>241</v>
      </c>
      <c r="B58" s="374" t="s">
        <v>279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1"/>
      <c r="M58" s="182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D58" s="71"/>
    </row>
    <row r="59" spans="1:33" s="73" customFormat="1" ht="12" customHeight="1">
      <c r="A59" s="210" t="s">
        <v>243</v>
      </c>
      <c r="B59" s="71" t="s">
        <v>280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1"/>
      <c r="M59" s="182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D59" s="71"/>
    </row>
    <row r="60" spans="1:33" s="73" customFormat="1" ht="12" customHeight="1">
      <c r="A60" s="210" t="s">
        <v>247</v>
      </c>
      <c r="B60" s="374" t="s">
        <v>281</v>
      </c>
      <c r="C60" s="183"/>
      <c r="D60" s="183"/>
      <c r="E60" s="183"/>
      <c r="F60" s="183"/>
      <c r="G60" s="184"/>
      <c r="I60" s="184"/>
      <c r="J60" s="184"/>
      <c r="K60" s="184"/>
      <c r="L60" s="181"/>
      <c r="M60" s="182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D60" s="71"/>
    </row>
    <row r="61" spans="1:33" s="73" customFormat="1" ht="12" customHeight="1">
      <c r="A61" s="461" t="s">
        <v>249</v>
      </c>
      <c r="B61" s="375" t="s">
        <v>282</v>
      </c>
      <c r="C61" s="183"/>
      <c r="D61" s="183"/>
      <c r="E61" s="183"/>
      <c r="F61" s="183"/>
      <c r="G61" s="184"/>
      <c r="I61" s="184"/>
      <c r="J61" s="184"/>
      <c r="K61" s="184"/>
      <c r="L61" s="181"/>
      <c r="M61" s="182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D61" s="71"/>
    </row>
    <row r="62" spans="1:33" s="73" customFormat="1" ht="12" customHeight="1">
      <c r="A62" s="461" t="s">
        <v>258</v>
      </c>
      <c r="B62" s="374" t="s">
        <v>283</v>
      </c>
      <c r="C62" s="183"/>
      <c r="D62" s="183"/>
      <c r="E62" s="183"/>
      <c r="F62" s="183"/>
      <c r="G62" s="184"/>
      <c r="I62" s="184"/>
      <c r="J62" s="184"/>
      <c r="K62" s="184"/>
      <c r="L62" s="181"/>
      <c r="M62" s="182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D62" s="71"/>
    </row>
    <row r="63" spans="1:33" s="73" customFormat="1" ht="12" customHeight="1">
      <c r="A63" s="739" t="s">
        <v>265</v>
      </c>
      <c r="B63" s="71" t="s">
        <v>284</v>
      </c>
      <c r="C63" s="183"/>
      <c r="D63" s="183"/>
      <c r="E63" s="183"/>
      <c r="F63" s="183"/>
      <c r="G63" s="184"/>
      <c r="I63" s="184"/>
      <c r="J63" s="184"/>
      <c r="K63" s="184"/>
      <c r="L63" s="181"/>
      <c r="M63" s="182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D63" s="71"/>
    </row>
    <row r="64" spans="1:33" s="73" customFormat="1" ht="12" customHeight="1">
      <c r="A64" s="739"/>
      <c r="B64" s="71" t="s">
        <v>285</v>
      </c>
      <c r="C64" s="183"/>
      <c r="D64" s="183"/>
      <c r="E64" s="183"/>
      <c r="F64" s="183"/>
      <c r="G64" s="184"/>
      <c r="I64" s="184"/>
      <c r="J64" s="184"/>
      <c r="K64" s="184"/>
      <c r="L64" s="181"/>
      <c r="M64" s="182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D64" s="71"/>
    </row>
    <row r="65" spans="1:30" s="73" customFormat="1" ht="12">
      <c r="A65" s="738" t="s">
        <v>269</v>
      </c>
      <c r="B65" s="375" t="s">
        <v>286</v>
      </c>
      <c r="C65" s="183"/>
      <c r="D65" s="183"/>
      <c r="E65" s="183"/>
      <c r="F65" s="183"/>
      <c r="G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D65" s="71"/>
    </row>
    <row r="66" spans="1:30" s="73" customFormat="1" ht="12">
      <c r="A66" s="211"/>
      <c r="B66" s="185"/>
      <c r="C66" s="183"/>
      <c r="D66" s="183"/>
      <c r="E66" s="183"/>
      <c r="F66" s="183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D66" s="71"/>
    </row>
    <row r="67" spans="1:30" s="73" customFormat="1" ht="12">
      <c r="A67" s="211"/>
      <c r="B67" s="185"/>
      <c r="C67" s="183"/>
      <c r="D67" s="183"/>
      <c r="E67" s="183"/>
      <c r="F67" s="183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D67" s="71"/>
    </row>
    <row r="68" spans="1:30" s="71" customFormat="1" ht="12">
      <c r="A68" s="212"/>
      <c r="B68" s="73" t="s">
        <v>287</v>
      </c>
      <c r="C68" s="56"/>
      <c r="D68" s="56"/>
    </row>
    <row r="69" spans="1:30" s="21" customFormat="1" ht="12">
      <c r="A69" s="213"/>
      <c r="B69" s="16" t="s">
        <v>288</v>
      </c>
      <c r="C69" s="6" t="str">
        <f t="shared" ref="C69:U69" si="87">C4</f>
        <v>FY2006</v>
      </c>
      <c r="D69" s="6" t="str">
        <f t="shared" si="87"/>
        <v>FY2007</v>
      </c>
      <c r="E69" s="6" t="str">
        <f t="shared" si="87"/>
        <v>FY2008</v>
      </c>
      <c r="F69" s="6" t="str">
        <f t="shared" si="87"/>
        <v>FY2009</v>
      </c>
      <c r="G69" s="6" t="str">
        <f t="shared" si="87"/>
        <v>FY2010</v>
      </c>
      <c r="H69" s="6" t="str">
        <f t="shared" si="87"/>
        <v>FY2011</v>
      </c>
      <c r="I69" s="6" t="str">
        <f t="shared" si="87"/>
        <v>FY2012</v>
      </c>
      <c r="J69" s="6" t="str">
        <f t="shared" si="87"/>
        <v>FY2013</v>
      </c>
      <c r="K69" s="6" t="str">
        <f t="shared" si="87"/>
        <v>FY2014</v>
      </c>
      <c r="L69" s="6" t="str">
        <f t="shared" si="87"/>
        <v>FY2015</v>
      </c>
      <c r="M69" s="6" t="str">
        <f t="shared" si="87"/>
        <v>FY2016</v>
      </c>
      <c r="N69" s="6" t="str">
        <f t="shared" si="87"/>
        <v>FY2017</v>
      </c>
      <c r="O69" s="6" t="str">
        <f t="shared" si="87"/>
        <v>FY2018</v>
      </c>
      <c r="P69" s="6" t="str">
        <f t="shared" si="87"/>
        <v>FY2019</v>
      </c>
      <c r="Q69" s="6" t="str">
        <f t="shared" si="87"/>
        <v>FY2020</v>
      </c>
      <c r="R69" s="6" t="str">
        <f t="shared" si="87"/>
        <v>FY2021</v>
      </c>
      <c r="S69" s="6" t="str">
        <f t="shared" si="87"/>
        <v>FY2022</v>
      </c>
      <c r="T69" s="6" t="str">
        <f t="shared" si="87"/>
        <v>FY2023</v>
      </c>
      <c r="U69" s="6" t="str">
        <f t="shared" si="87"/>
        <v>FY2024</v>
      </c>
      <c r="V69" s="6" t="str">
        <f t="shared" ref="V69:W69" si="88">V4</f>
        <v>FY2025</v>
      </c>
      <c r="W69" s="6" t="str">
        <f t="shared" si="88"/>
        <v>FY2026</v>
      </c>
      <c r="X69" s="6" t="str">
        <f t="shared" ref="X69" si="89">X4</f>
        <v>FY2027</v>
      </c>
      <c r="Y69" s="6"/>
      <c r="Z69" s="6"/>
      <c r="AA69" s="6"/>
      <c r="AB69" s="6"/>
    </row>
    <row r="70" spans="1:30" s="21" customFormat="1" ht="12">
      <c r="A70" s="213"/>
      <c r="B70" s="17" t="s">
        <v>254</v>
      </c>
      <c r="C70" s="18"/>
      <c r="D70" s="18"/>
      <c r="E70" s="168">
        <f t="shared" ref="E70" si="90">IFERROR(IF(E35&gt;0,AVERAGE(C31:E31),0),0)</f>
        <v>0</v>
      </c>
      <c r="F70" s="168">
        <f t="shared" ref="F70" si="91">IFERROR(IF(F35&gt;0,AVERAGE(D31:F31),0),0)</f>
        <v>0</v>
      </c>
      <c r="G70" s="168">
        <f t="shared" ref="G70" si="92">IFERROR(IF(G35&gt;0,AVERAGE(E31:G31),0),0)</f>
        <v>0</v>
      </c>
      <c r="H70" s="168">
        <f t="shared" ref="H70" si="93">IFERROR(IF(H35&gt;0,AVERAGE(F31:H31),0),0)</f>
        <v>0</v>
      </c>
      <c r="I70" s="168">
        <f t="shared" ref="I70" si="94">IFERROR(IF(I35&gt;0,AVERAGE(G31:I31),0),0)</f>
        <v>0</v>
      </c>
      <c r="J70" s="168">
        <f t="shared" ref="J70" si="95">IFERROR(IF(J35&gt;0,AVERAGE(H31:J31),0),0)</f>
        <v>0</v>
      </c>
      <c r="K70" s="168">
        <f t="shared" ref="K70" si="96">IFERROR(IF(K35&gt;0,AVERAGE(I31:K31),0),0)</f>
        <v>0</v>
      </c>
      <c r="L70" s="168">
        <f t="shared" ref="L70" si="97">IFERROR(IF(L35&gt;0,AVERAGE(J31:L31),0),0)</f>
        <v>0</v>
      </c>
      <c r="M70" s="168">
        <f t="shared" ref="M70" si="98">IFERROR(IF(M35&gt;0,AVERAGE(K31:M31),0),0)</f>
        <v>0</v>
      </c>
      <c r="N70" s="168">
        <f t="shared" ref="N70" si="99">IFERROR(IF(N35&gt;0,AVERAGE(L31:N31),0),0)</f>
        <v>0</v>
      </c>
      <c r="O70" s="168">
        <f t="shared" ref="O70" si="100">IFERROR(IF(O35&gt;0,AVERAGE(M31:O31),0),0)</f>
        <v>0</v>
      </c>
      <c r="P70" s="168">
        <f t="shared" ref="P70" si="101">IFERROR(IF(P35&gt;0,AVERAGE(N31:P31),0),0)</f>
        <v>0</v>
      </c>
      <c r="Q70" s="168">
        <f t="shared" ref="Q70" si="102">IFERROR(IF(Q35&gt;0,AVERAGE(O31:Q31),0),0)</f>
        <v>0</v>
      </c>
      <c r="R70" s="168">
        <f t="shared" ref="R70" si="103">IFERROR(IF(R35&gt;0,AVERAGE(P31:R31),0),0)</f>
        <v>0</v>
      </c>
      <c r="S70" s="168">
        <f t="shared" ref="S70" si="104">IFERROR(IF(S35&gt;0,AVERAGE(Q31:S31),0),0)</f>
        <v>0</v>
      </c>
      <c r="T70" s="168">
        <f t="shared" ref="T70" si="105">IFERROR(IF(T35&gt;0,AVERAGE(R31:T31),0),0)</f>
        <v>0</v>
      </c>
      <c r="U70" s="168">
        <f t="shared" ref="U70" si="106">IFERROR(IF(U35&gt;0,AVERAGE(S31:U31),0),0)</f>
        <v>54193.333333333336</v>
      </c>
      <c r="V70" s="168">
        <f t="shared" ref="V70" si="107">IFERROR(IF(V35&gt;0,AVERAGE(T31:V31),0),0)</f>
        <v>99309</v>
      </c>
      <c r="W70" s="168">
        <f t="shared" ref="W70:X70" si="108">IFERROR(IF(W35&gt;0,AVERAGE(U31:W31),0),0)</f>
        <v>99309</v>
      </c>
      <c r="X70" s="168">
        <f t="shared" si="108"/>
        <v>45115.666666666664</v>
      </c>
      <c r="Y70" s="24"/>
      <c r="Z70" s="24"/>
      <c r="AA70" s="24"/>
      <c r="AB70" s="24"/>
    </row>
    <row r="71" spans="1:30" s="21" customFormat="1" ht="12">
      <c r="A71" s="213"/>
      <c r="B71" s="23" t="s">
        <v>289</v>
      </c>
      <c r="C71" s="18"/>
      <c r="D71" s="18"/>
      <c r="E71" s="168">
        <f t="shared" ref="E71" si="109">IFERROR(IF(E35&gt;0,AVERAGE(C32:E32)+AVERAGE(C33:E33),0),0)</f>
        <v>0</v>
      </c>
      <c r="F71" s="168">
        <f t="shared" ref="F71" si="110">IFERROR(IF(F35&gt;0,AVERAGE(D32:F32)+AVERAGE(D33:F33),0),0)</f>
        <v>0</v>
      </c>
      <c r="G71" s="168">
        <f t="shared" ref="G71" si="111">IFERROR(IF(G35&gt;0,AVERAGE(E32:G32)+AVERAGE(E33:G33),0),0)</f>
        <v>0</v>
      </c>
      <c r="H71" s="168">
        <f t="shared" ref="H71" si="112">IFERROR(IF(H35&gt;0,AVERAGE(F32:H32)+AVERAGE(F33:H33),0),0)</f>
        <v>0</v>
      </c>
      <c r="I71" s="168">
        <f t="shared" ref="I71" si="113">IFERROR(IF(I35&gt;0,AVERAGE(G32:I32)+AVERAGE(G33:I33),0),0)</f>
        <v>0</v>
      </c>
      <c r="J71" s="168">
        <f t="shared" ref="J71" si="114">IFERROR(IF(J35&gt;0,AVERAGE(H32:J32)+AVERAGE(H33:J33),0),0)</f>
        <v>0</v>
      </c>
      <c r="K71" s="168">
        <f t="shared" ref="K71" si="115">IFERROR(IF(K35&gt;0,AVERAGE(I32:K32)+AVERAGE(I33:K33),0),0)</f>
        <v>0</v>
      </c>
      <c r="L71" s="168">
        <f t="shared" ref="L71" si="116">IFERROR(IF(L35&gt;0,AVERAGE(J32:L32)+AVERAGE(J33:L33),0),0)</f>
        <v>0</v>
      </c>
      <c r="M71" s="168">
        <f t="shared" ref="M71" si="117">IFERROR(IF(M35&gt;0,AVERAGE(K32:M32)+AVERAGE(K33:M33),0),0)</f>
        <v>0</v>
      </c>
      <c r="N71" s="168">
        <f t="shared" ref="N71" si="118">IFERROR(IF(N35&gt;0,AVERAGE(L32:N32)+AVERAGE(L33:N33),0),0)</f>
        <v>0</v>
      </c>
      <c r="O71" s="168">
        <f t="shared" ref="O71" si="119">IFERROR(IF(O35&gt;0,AVERAGE(M32:O32)+AVERAGE(M33:O33),0),0)</f>
        <v>0</v>
      </c>
      <c r="P71" s="168">
        <f t="shared" ref="P71" si="120">IFERROR(IF(P35&gt;0,AVERAGE(N32:P32)+AVERAGE(N33:P33),0),0)</f>
        <v>0</v>
      </c>
      <c r="Q71" s="168">
        <f t="shared" ref="Q71" si="121">IFERROR(IF(Q35&gt;0,AVERAGE(O32:Q32)+AVERAGE(O33:Q33),0),0)</f>
        <v>0</v>
      </c>
      <c r="R71" s="168">
        <f t="shared" ref="R71" si="122">IFERROR(IF(R35&gt;0,AVERAGE(P32:R32)+AVERAGE(P33:R33),0),0)</f>
        <v>0</v>
      </c>
      <c r="S71" s="168">
        <f t="shared" ref="S71" si="123">IFERROR(IF(S35&gt;0,AVERAGE(Q32:S32)+AVERAGE(Q33:S33),0),0)</f>
        <v>0</v>
      </c>
      <c r="T71" s="168">
        <f t="shared" ref="T71" si="124">IFERROR(IF(T35&gt;0,AVERAGE(R32:T32)+AVERAGE(R33:T33),0),0)</f>
        <v>0</v>
      </c>
      <c r="U71" s="168">
        <f t="shared" ref="U71" si="125">IFERROR(IF(U35&gt;0,AVERAGE(S32:U32)+AVERAGE(S33:U33),0),0)</f>
        <v>9987.3333333333339</v>
      </c>
      <c r="V71" s="168">
        <f t="shared" ref="V71" si="126">IFERROR(IF(V35&gt;0,AVERAGE(T32:V32)+AVERAGE(T33:V33),0),0)</f>
        <v>15977.333333333334</v>
      </c>
      <c r="W71" s="168">
        <f t="shared" ref="W71:X71" si="127">IFERROR(IF(W35&gt;0,AVERAGE(U32:W32)+AVERAGE(U33:W33),0),0)</f>
        <v>15977.333333333334</v>
      </c>
      <c r="X71" s="168">
        <f t="shared" si="127"/>
        <v>5990</v>
      </c>
      <c r="Y71" s="24"/>
      <c r="Z71" s="24"/>
      <c r="AA71" s="24"/>
      <c r="AB71" s="24"/>
    </row>
    <row r="72" spans="1:30" s="21" customFormat="1" ht="12">
      <c r="A72" s="213"/>
      <c r="B72" s="23" t="s">
        <v>290</v>
      </c>
      <c r="C72" s="18"/>
      <c r="D72" s="18"/>
      <c r="E72" s="168">
        <f t="shared" ref="E72" si="128">IFERROR(IF(E35&gt;0,AVERAGE(C34:E34),0),0)</f>
        <v>0</v>
      </c>
      <c r="F72" s="168">
        <f t="shared" ref="F72" si="129">IFERROR(IF(F35&gt;0,AVERAGE(D34:F34),0),0)</f>
        <v>0</v>
      </c>
      <c r="G72" s="168">
        <f t="shared" ref="G72" si="130">IFERROR(IF(G35&gt;0,AVERAGE(E34:G34),0),0)</f>
        <v>0</v>
      </c>
      <c r="H72" s="168">
        <f t="shared" ref="H72" si="131">IFERROR(IF(H35&gt;0,AVERAGE(F34:H34),0),0)</f>
        <v>0</v>
      </c>
      <c r="I72" s="168">
        <f t="shared" ref="I72" si="132">IFERROR(IF(I35&gt;0,AVERAGE(G34:I34),0),0)</f>
        <v>0</v>
      </c>
      <c r="J72" s="168">
        <f t="shared" ref="J72" si="133">IFERROR(IF(J35&gt;0,AVERAGE(H34:J34),0),0)</f>
        <v>0</v>
      </c>
      <c r="K72" s="168">
        <f t="shared" ref="K72" si="134">IFERROR(IF(K35&gt;0,AVERAGE(I34:K34),0),0)</f>
        <v>0</v>
      </c>
      <c r="L72" s="168">
        <f t="shared" ref="L72" si="135">IFERROR(IF(L35&gt;0,AVERAGE(J34:L34),0),0)</f>
        <v>0</v>
      </c>
      <c r="M72" s="168">
        <f t="shared" ref="M72" si="136">IFERROR(IF(M35&gt;0,AVERAGE(K34:M34),0),0)</f>
        <v>0</v>
      </c>
      <c r="N72" s="168">
        <f t="shared" ref="N72" si="137">IFERROR(IF(N35&gt;0,AVERAGE(L34:N34),0),0)</f>
        <v>0</v>
      </c>
      <c r="O72" s="168">
        <f t="shared" ref="O72" si="138">IFERROR(IF(O35&gt;0,AVERAGE(M34:O34),0),0)</f>
        <v>0</v>
      </c>
      <c r="P72" s="168">
        <f t="shared" ref="P72" si="139">IFERROR(IF(P35&gt;0,AVERAGE(N34:P34),0),0)</f>
        <v>0</v>
      </c>
      <c r="Q72" s="168">
        <f t="shared" ref="Q72" si="140">IFERROR(IF(Q35&gt;0,AVERAGE(O34:Q34),0),0)</f>
        <v>0</v>
      </c>
      <c r="R72" s="168">
        <f t="shared" ref="R72" si="141">IFERROR(IF(R35&gt;0,AVERAGE(P34:R34),0),0)</f>
        <v>0</v>
      </c>
      <c r="S72" s="168">
        <f t="shared" ref="S72" si="142">IFERROR(IF(S35&gt;0,AVERAGE(Q34:S34),0),0)</f>
        <v>0</v>
      </c>
      <c r="T72" s="168">
        <f t="shared" ref="T72" si="143">IFERROR(IF(T35&gt;0,AVERAGE(R34:T34),0),0)</f>
        <v>0</v>
      </c>
      <c r="U72" s="168">
        <f t="shared" ref="U72" si="144">IFERROR(IF(U35&gt;0,AVERAGE(S34:U34),0),0)</f>
        <v>9983.3333333333339</v>
      </c>
      <c r="V72" s="168">
        <f t="shared" ref="V72" si="145">IFERROR(IF(V35&gt;0,AVERAGE(T34:V34),0),0)</f>
        <v>12082.333333333334</v>
      </c>
      <c r="W72" s="168">
        <f t="shared" ref="W72:X72" si="146">IFERROR(IF(W35&gt;0,AVERAGE(U34:W34),0),0)</f>
        <v>12082.333333333334</v>
      </c>
      <c r="X72" s="168">
        <f t="shared" si="146"/>
        <v>2099</v>
      </c>
      <c r="Y72" s="24"/>
      <c r="Z72" s="24"/>
      <c r="AA72" s="24"/>
      <c r="AB72" s="24"/>
    </row>
    <row r="73" spans="1:30" s="21" customFormat="1" ht="12">
      <c r="A73" s="213"/>
      <c r="B73" s="19" t="s">
        <v>291</v>
      </c>
      <c r="C73" s="18"/>
      <c r="D73" s="18"/>
      <c r="E73" s="168">
        <f t="shared" ref="E73:F73" si="147">SUM(E70:E72)</f>
        <v>0</v>
      </c>
      <c r="F73" s="168">
        <f t="shared" si="147"/>
        <v>0</v>
      </c>
      <c r="G73" s="168">
        <f t="shared" ref="G73:K73" si="148">SUM(G70:G72)</f>
        <v>0</v>
      </c>
      <c r="H73" s="168">
        <f t="shared" si="148"/>
        <v>0</v>
      </c>
      <c r="I73" s="168">
        <f t="shared" si="148"/>
        <v>0</v>
      </c>
      <c r="J73" s="168">
        <f t="shared" si="148"/>
        <v>0</v>
      </c>
      <c r="K73" s="168">
        <f t="shared" si="148"/>
        <v>0</v>
      </c>
      <c r="L73" s="168">
        <f t="shared" ref="L73:P73" si="149">SUM(L70:L72)</f>
        <v>0</v>
      </c>
      <c r="M73" s="168">
        <f t="shared" si="149"/>
        <v>0</v>
      </c>
      <c r="N73" s="168">
        <f t="shared" si="149"/>
        <v>0</v>
      </c>
      <c r="O73" s="168">
        <f t="shared" si="149"/>
        <v>0</v>
      </c>
      <c r="P73" s="168">
        <f t="shared" si="149"/>
        <v>0</v>
      </c>
      <c r="Q73" s="168">
        <f t="shared" ref="Q73" si="150">SUM(Q70:Q72)</f>
        <v>0</v>
      </c>
      <c r="R73" s="168">
        <f t="shared" ref="R73:W73" si="151">SUM(R70:R72)</f>
        <v>0</v>
      </c>
      <c r="S73" s="168">
        <f t="shared" si="151"/>
        <v>0</v>
      </c>
      <c r="T73" s="168">
        <f t="shared" si="151"/>
        <v>0</v>
      </c>
      <c r="U73" s="168">
        <f t="shared" si="151"/>
        <v>74164</v>
      </c>
      <c r="V73" s="168">
        <f t="shared" si="151"/>
        <v>127368.66666666666</v>
      </c>
      <c r="W73" s="168">
        <f t="shared" si="151"/>
        <v>127368.66666666666</v>
      </c>
      <c r="X73" s="168">
        <f t="shared" ref="X73" si="152">SUM(X70:X72)</f>
        <v>53204.666666666664</v>
      </c>
      <c r="Y73" s="24"/>
      <c r="Z73" s="24"/>
      <c r="AA73" s="24"/>
      <c r="AB73" s="24"/>
    </row>
    <row r="74" spans="1:30" s="21" customFormat="1" ht="12">
      <c r="A74" s="213"/>
      <c r="B74" s="19"/>
      <c r="C74" s="186"/>
      <c r="D74" s="186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</row>
    <row r="75" spans="1:30" s="21" customFormat="1" ht="12">
      <c r="A75" s="213"/>
      <c r="B75" s="16" t="s">
        <v>292</v>
      </c>
      <c r="C75" s="186"/>
      <c r="D75" s="186"/>
      <c r="E75" s="187"/>
      <c r="F75" s="186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</row>
    <row r="76" spans="1:30" s="21" customFormat="1" ht="12">
      <c r="A76" s="213"/>
      <c r="B76" s="17" t="s">
        <v>254</v>
      </c>
      <c r="C76" s="18"/>
      <c r="D76" s="18"/>
      <c r="E76" s="18"/>
      <c r="F76" s="18"/>
      <c r="G76" s="168">
        <f t="shared" ref="G76" si="153">IFERROR(IF(G35&gt;0,AVERAGE(C31:G31),0),0)</f>
        <v>0</v>
      </c>
      <c r="H76" s="168">
        <f t="shared" ref="H76" si="154">IFERROR(IF(H35&gt;0,AVERAGE(D31:H31),0),0)</f>
        <v>0</v>
      </c>
      <c r="I76" s="168">
        <f t="shared" ref="I76" si="155">IFERROR(IF(I35&gt;0,AVERAGE(E31:I31),0),0)</f>
        <v>0</v>
      </c>
      <c r="J76" s="168">
        <f t="shared" ref="J76" si="156">IFERROR(IF(J35&gt;0,AVERAGE(F31:J31),0),0)</f>
        <v>0</v>
      </c>
      <c r="K76" s="168">
        <f t="shared" ref="K76" si="157">IFERROR(IF(K35&gt;0,AVERAGE(G31:K31),0),0)</f>
        <v>0</v>
      </c>
      <c r="L76" s="168">
        <f t="shared" ref="L76" si="158">IFERROR(IF(L35&gt;0,AVERAGE(H31:L31),0),0)</f>
        <v>0</v>
      </c>
      <c r="M76" s="168">
        <f t="shared" ref="M76" si="159">IFERROR(IF(M35&gt;0,AVERAGE(I31:M31),0),0)</f>
        <v>0</v>
      </c>
      <c r="N76" s="168">
        <f t="shared" ref="N76" si="160">IFERROR(IF(N35&gt;0,AVERAGE(J31:N31),0),0)</f>
        <v>0</v>
      </c>
      <c r="O76" s="168">
        <f t="shared" ref="O76" si="161">IFERROR(IF(O35&gt;0,AVERAGE(K31:O31),0),0)</f>
        <v>0</v>
      </c>
      <c r="P76" s="168">
        <f t="shared" ref="P76" si="162">IFERROR(IF(P35&gt;0,AVERAGE(L31:P31),0),0)</f>
        <v>0</v>
      </c>
      <c r="Q76" s="168">
        <f t="shared" ref="Q76" si="163">IFERROR(IF(Q35&gt;0,AVERAGE(M31:Q31),0),0)</f>
        <v>0</v>
      </c>
      <c r="R76" s="168">
        <f t="shared" ref="R76" si="164">IFERROR(IF(R35&gt;0,AVERAGE(N31:R31),0),0)</f>
        <v>0</v>
      </c>
      <c r="S76" s="168">
        <f t="shared" ref="S76" si="165">IFERROR(IF(S35&gt;0,AVERAGE(O31:S31),0),0)</f>
        <v>0</v>
      </c>
      <c r="T76" s="168">
        <f t="shared" ref="T76" si="166">IFERROR(IF(T35&gt;0,AVERAGE(P31:T31),0),0)</f>
        <v>0</v>
      </c>
      <c r="U76" s="168">
        <f t="shared" ref="U76" si="167">IFERROR(IF(U35&gt;0,AVERAGE(Q31:U31),0),0)</f>
        <v>32516</v>
      </c>
      <c r="V76" s="168">
        <f t="shared" ref="V76" si="168">IFERROR(IF(V35&gt;0,AVERAGE(R31:V31),0),0)</f>
        <v>59585.4</v>
      </c>
      <c r="W76" s="168">
        <f t="shared" ref="W76:X76" si="169">IFERROR(IF(W35&gt;0,AVERAGE(S31:W31),0),0)</f>
        <v>59585.4</v>
      </c>
      <c r="X76" s="168">
        <f t="shared" si="169"/>
        <v>59585.4</v>
      </c>
      <c r="Y76" s="24"/>
      <c r="Z76" s="24"/>
      <c r="AA76" s="24"/>
      <c r="AB76" s="24"/>
    </row>
    <row r="77" spans="1:30" s="21" customFormat="1" ht="12">
      <c r="A77" s="213"/>
      <c r="B77" s="23" t="s">
        <v>289</v>
      </c>
      <c r="C77" s="18"/>
      <c r="D77" s="18"/>
      <c r="E77" s="18"/>
      <c r="F77" s="18"/>
      <c r="G77" s="168">
        <f t="shared" ref="G77" si="170">IFERROR(IF(G35&gt;0,AVERAGE(C32:G32)+AVERAGE(C33:G33),0),0)</f>
        <v>0</v>
      </c>
      <c r="H77" s="168">
        <f t="shared" ref="H77" si="171">IFERROR(IF(H35&gt;0,AVERAGE(D32:H32)+AVERAGE(D33:H33),0),0)</f>
        <v>0</v>
      </c>
      <c r="I77" s="168">
        <f t="shared" ref="I77" si="172">IFERROR(IF(I35&gt;0,AVERAGE(E32:I32)+AVERAGE(E33:I33),0),0)</f>
        <v>0</v>
      </c>
      <c r="J77" s="168">
        <f t="shared" ref="J77" si="173">IFERROR(IF(J35&gt;0,AVERAGE(F32:J32)+AVERAGE(F33:J33),0),0)</f>
        <v>0</v>
      </c>
      <c r="K77" s="168">
        <f t="shared" ref="K77" si="174">IFERROR(IF(K35&gt;0,AVERAGE(G32:K32)+AVERAGE(G33:K33),0),0)</f>
        <v>0</v>
      </c>
      <c r="L77" s="168">
        <f t="shared" ref="L77" si="175">IFERROR(IF(L35&gt;0,AVERAGE(H32:L32)+AVERAGE(H33:L33),0),0)</f>
        <v>0</v>
      </c>
      <c r="M77" s="168">
        <f t="shared" ref="M77" si="176">IFERROR(IF(M35&gt;0,AVERAGE(I32:M32)+AVERAGE(I33:M33),0),0)</f>
        <v>0</v>
      </c>
      <c r="N77" s="168">
        <f t="shared" ref="N77" si="177">IFERROR(IF(N35&gt;0,AVERAGE(J32:N32)+AVERAGE(J33:N33),0),0)</f>
        <v>0</v>
      </c>
      <c r="O77" s="168">
        <f t="shared" ref="O77" si="178">IFERROR(IF(O35&gt;0,AVERAGE(K32:O32)+AVERAGE(K33:O33),0),0)</f>
        <v>0</v>
      </c>
      <c r="P77" s="168">
        <f t="shared" ref="P77" si="179">IFERROR(IF(P35&gt;0,AVERAGE(L32:P32)+AVERAGE(L33:P33),0),0)</f>
        <v>0</v>
      </c>
      <c r="Q77" s="168">
        <f t="shared" ref="Q77" si="180">IFERROR(IF(Q35&gt;0,AVERAGE(M32:Q32)+AVERAGE(M33:Q33),0),0)</f>
        <v>0</v>
      </c>
      <c r="R77" s="168">
        <f t="shared" ref="R77" si="181">IFERROR(IF(R35&gt;0,AVERAGE(N32:R32)+AVERAGE(N33:R33),0),0)</f>
        <v>0</v>
      </c>
      <c r="S77" s="168">
        <f t="shared" ref="S77" si="182">IFERROR(IF(S35&gt;0,AVERAGE(O32:S32)+AVERAGE(O33:S33),0),0)</f>
        <v>0</v>
      </c>
      <c r="T77" s="168">
        <f t="shared" ref="T77" si="183">IFERROR(IF(T35&gt;0,AVERAGE(P32:T32)+AVERAGE(P33:T33),0),0)</f>
        <v>0</v>
      </c>
      <c r="U77" s="168">
        <f t="shared" ref="U77" si="184">IFERROR(IF(U35&gt;0,AVERAGE(Q32:U32)+AVERAGE(Q33:U33),0),0)</f>
        <v>5992.4</v>
      </c>
      <c r="V77" s="168">
        <f t="shared" ref="V77" si="185">IFERROR(IF(V35&gt;0,AVERAGE(R32:V32)+AVERAGE(R33:V33),0),0)</f>
        <v>9586.4</v>
      </c>
      <c r="W77" s="168">
        <f t="shared" ref="W77:X77" si="186">IFERROR(IF(W35&gt;0,AVERAGE(S32:W32)+AVERAGE(S33:W33),0),0)</f>
        <v>9586.4</v>
      </c>
      <c r="X77" s="168">
        <f t="shared" si="186"/>
        <v>9586.4</v>
      </c>
      <c r="Y77" s="24"/>
      <c r="Z77" s="24"/>
      <c r="AA77" s="24"/>
      <c r="AB77" s="24"/>
    </row>
    <row r="78" spans="1:30" s="21" customFormat="1" ht="12">
      <c r="A78" s="213"/>
      <c r="B78" s="23" t="s">
        <v>290</v>
      </c>
      <c r="C78" s="18"/>
      <c r="D78" s="18"/>
      <c r="E78" s="18"/>
      <c r="F78" s="18"/>
      <c r="G78" s="168">
        <f t="shared" ref="G78" si="187">IFERROR(IF(G35&gt;0,AVERAGE(C34:G34),0),0)</f>
        <v>0</v>
      </c>
      <c r="H78" s="168">
        <f t="shared" ref="H78" si="188">IFERROR(IF(H35&gt;0,AVERAGE(D34:H34),0),0)</f>
        <v>0</v>
      </c>
      <c r="I78" s="168">
        <f t="shared" ref="I78" si="189">IFERROR(IF(I35&gt;0,AVERAGE(E34:I34),0),0)</f>
        <v>0</v>
      </c>
      <c r="J78" s="168">
        <f t="shared" ref="J78" si="190">IFERROR(IF(J35&gt;0,AVERAGE(F34:J34),0),0)</f>
        <v>0</v>
      </c>
      <c r="K78" s="168">
        <f t="shared" ref="K78" si="191">IFERROR(IF(K35&gt;0,AVERAGE(G34:K34),0),0)</f>
        <v>0</v>
      </c>
      <c r="L78" s="168">
        <f t="shared" ref="L78" si="192">IFERROR(IF(L35&gt;0,AVERAGE(H34:L34),0),0)</f>
        <v>0</v>
      </c>
      <c r="M78" s="168">
        <f t="shared" ref="M78" si="193">IFERROR(IF(M35&gt;0,AVERAGE(I34:M34),0),0)</f>
        <v>0</v>
      </c>
      <c r="N78" s="168">
        <f t="shared" ref="N78" si="194">IFERROR(IF(N35&gt;0,AVERAGE(J34:N34),0),0)</f>
        <v>0</v>
      </c>
      <c r="O78" s="168">
        <f t="shared" ref="O78" si="195">IFERROR(IF(O35&gt;0,AVERAGE(K34:O34),0),0)</f>
        <v>0</v>
      </c>
      <c r="P78" s="168">
        <f t="shared" ref="P78" si="196">IFERROR(IF(P35&gt;0,AVERAGE(L34:P34),0),0)</f>
        <v>0</v>
      </c>
      <c r="Q78" s="168">
        <f t="shared" ref="Q78" si="197">IFERROR(IF(Q35&gt;0,AVERAGE(M34:Q34),0),0)</f>
        <v>0</v>
      </c>
      <c r="R78" s="168">
        <f t="shared" ref="R78" si="198">IFERROR(IF(R35&gt;0,AVERAGE(N34:R34),0),0)</f>
        <v>0</v>
      </c>
      <c r="S78" s="168">
        <f t="shared" ref="S78" si="199">IFERROR(IF(S35&gt;0,AVERAGE(O34:S34),0),0)</f>
        <v>0</v>
      </c>
      <c r="T78" s="168">
        <f t="shared" ref="T78" si="200">IFERROR(IF(T35&gt;0,AVERAGE(P34:T34),0),0)</f>
        <v>0</v>
      </c>
      <c r="U78" s="168">
        <f t="shared" ref="U78" si="201">IFERROR(IF(U35&gt;0,AVERAGE(Q34:U34),0),0)</f>
        <v>5990</v>
      </c>
      <c r="V78" s="168">
        <f t="shared" ref="V78" si="202">IFERROR(IF(V35&gt;0,AVERAGE(R34:V34),0),0)</f>
        <v>7249.4</v>
      </c>
      <c r="W78" s="168">
        <f t="shared" ref="W78:X78" si="203">IFERROR(IF(W35&gt;0,AVERAGE(S34:W34),0),0)</f>
        <v>7249.4</v>
      </c>
      <c r="X78" s="168">
        <f t="shared" si="203"/>
        <v>7249.4</v>
      </c>
      <c r="Y78" s="24"/>
      <c r="Z78" s="24"/>
      <c r="AA78" s="24"/>
      <c r="AB78" s="24"/>
    </row>
    <row r="79" spans="1:30" s="21" customFormat="1" ht="12">
      <c r="A79" s="213"/>
      <c r="B79" s="19" t="s">
        <v>291</v>
      </c>
      <c r="C79" s="18"/>
      <c r="D79" s="18"/>
      <c r="E79" s="18"/>
      <c r="F79" s="18"/>
      <c r="G79" s="168">
        <f t="shared" ref="G79:K79" si="204">SUM(G76:G78)</f>
        <v>0</v>
      </c>
      <c r="H79" s="168">
        <f t="shared" si="204"/>
        <v>0</v>
      </c>
      <c r="I79" s="168">
        <f t="shared" si="204"/>
        <v>0</v>
      </c>
      <c r="J79" s="168">
        <f t="shared" si="204"/>
        <v>0</v>
      </c>
      <c r="K79" s="168">
        <f t="shared" si="204"/>
        <v>0</v>
      </c>
      <c r="L79" s="168">
        <f t="shared" ref="L79:P79" si="205">SUM(L76:L78)</f>
        <v>0</v>
      </c>
      <c r="M79" s="168">
        <f t="shared" si="205"/>
        <v>0</v>
      </c>
      <c r="N79" s="168">
        <f t="shared" si="205"/>
        <v>0</v>
      </c>
      <c r="O79" s="168">
        <f t="shared" si="205"/>
        <v>0</v>
      </c>
      <c r="P79" s="168">
        <f t="shared" si="205"/>
        <v>0</v>
      </c>
      <c r="Q79" s="168">
        <f t="shared" ref="Q79" si="206">SUM(Q76:Q78)</f>
        <v>0</v>
      </c>
      <c r="R79" s="168">
        <f t="shared" ref="R79:W79" si="207">SUM(R76:R78)</f>
        <v>0</v>
      </c>
      <c r="S79" s="168">
        <f t="shared" si="207"/>
        <v>0</v>
      </c>
      <c r="T79" s="168">
        <f t="shared" si="207"/>
        <v>0</v>
      </c>
      <c r="U79" s="168">
        <f t="shared" si="207"/>
        <v>44498.400000000001</v>
      </c>
      <c r="V79" s="168">
        <f t="shared" si="207"/>
        <v>76421.2</v>
      </c>
      <c r="W79" s="168">
        <f t="shared" si="207"/>
        <v>76421.2</v>
      </c>
      <c r="X79" s="168">
        <f t="shared" ref="X79" si="208">SUM(X76:X78)</f>
        <v>76421.2</v>
      </c>
      <c r="Y79" s="24"/>
      <c r="Z79" s="24"/>
      <c r="AA79" s="24"/>
      <c r="AB79" s="24"/>
    </row>
    <row r="80" spans="1:30" s="21" customFormat="1" ht="12">
      <c r="A80" s="213"/>
      <c r="C80" s="186"/>
      <c r="D80" s="186"/>
      <c r="E80" s="187"/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</row>
    <row r="81" spans="1:30" s="21" customFormat="1" ht="12">
      <c r="A81" s="213"/>
      <c r="B81" s="16" t="s">
        <v>293</v>
      </c>
      <c r="C81" s="186"/>
      <c r="D81" s="186"/>
      <c r="E81" s="187"/>
      <c r="F81" s="186"/>
      <c r="G81" s="186"/>
      <c r="H81" s="186"/>
      <c r="I81" s="186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</row>
    <row r="82" spans="1:30" s="21" customFormat="1" ht="12">
      <c r="A82" s="213"/>
      <c r="B82" s="17" t="s">
        <v>254</v>
      </c>
      <c r="C82" s="18"/>
      <c r="D82" s="18"/>
      <c r="E82" s="18"/>
      <c r="F82" s="18"/>
      <c r="G82" s="18"/>
      <c r="H82" s="18"/>
      <c r="I82" s="18"/>
      <c r="J82" s="18"/>
      <c r="K82" s="18"/>
      <c r="L82" s="168">
        <f t="shared" ref="L82" si="209">IFERROR(IF(L35&gt;0,AVERAGE(C31:L31),0),0)</f>
        <v>0</v>
      </c>
      <c r="M82" s="168">
        <f t="shared" ref="M82" si="210">IFERROR(IF(M35&gt;0,AVERAGE(D31:M31),0),0)</f>
        <v>0</v>
      </c>
      <c r="N82" s="168">
        <f t="shared" ref="N82" si="211">IFERROR(IF(N35&gt;0,AVERAGE(E31:N31),0),0)</f>
        <v>0</v>
      </c>
      <c r="O82" s="168">
        <f t="shared" ref="O82" si="212">IFERROR(IF(O35&gt;0,AVERAGE(F31:O31),0),0)</f>
        <v>0</v>
      </c>
      <c r="P82" s="168">
        <f t="shared" ref="P82" si="213">IFERROR(IF(P35&gt;0,AVERAGE(G31:P31),0),0)</f>
        <v>0</v>
      </c>
      <c r="Q82" s="168">
        <f t="shared" ref="Q82" si="214">IFERROR(IF(Q35&gt;0,AVERAGE(H31:Q31),0),0)</f>
        <v>0</v>
      </c>
      <c r="R82" s="168">
        <f t="shared" ref="R82" si="215">IFERROR(IF(R35&gt;0,AVERAGE(I31:R31),0),0)</f>
        <v>0</v>
      </c>
      <c r="S82" s="168">
        <f t="shared" ref="S82" si="216">IFERROR(IF(S35&gt;0,AVERAGE(J31:S31),0),0)</f>
        <v>0</v>
      </c>
      <c r="T82" s="168">
        <f t="shared" ref="T82" si="217">IFERROR(IF(T35&gt;0,AVERAGE(K31:T31),0),0)</f>
        <v>0</v>
      </c>
      <c r="U82" s="168">
        <f t="shared" ref="U82" si="218">IFERROR(IF(U35&gt;0,AVERAGE(L31:U31),0),0)</f>
        <v>16258</v>
      </c>
      <c r="V82" s="168">
        <f t="shared" ref="V82" si="219">IFERROR(IF(V35&gt;0,AVERAGE(M31:V31),0),0)</f>
        <v>29792.7</v>
      </c>
      <c r="W82" s="168">
        <f t="shared" ref="W82:X82" si="220">IFERROR(IF(W35&gt;0,AVERAGE(N31:W31),0),0)</f>
        <v>29792.7</v>
      </c>
      <c r="X82" s="168">
        <f t="shared" si="220"/>
        <v>29792.7</v>
      </c>
      <c r="Y82" s="24"/>
      <c r="Z82" s="24"/>
      <c r="AA82" s="24"/>
      <c r="AB82" s="24"/>
    </row>
    <row r="83" spans="1:30" s="21" customFormat="1" ht="12">
      <c r="A83" s="213"/>
      <c r="B83" s="23" t="s">
        <v>289</v>
      </c>
      <c r="C83" s="18"/>
      <c r="D83" s="18"/>
      <c r="E83" s="18"/>
      <c r="F83" s="18"/>
      <c r="G83" s="18"/>
      <c r="H83" s="18"/>
      <c r="I83" s="18"/>
      <c r="J83" s="18"/>
      <c r="K83" s="18"/>
      <c r="L83" s="168">
        <f t="shared" ref="L83" si="221">IFERROR(IF(L35&gt;0,AVERAGE(C32:L32)+AVERAGE(C33:L33),0),0)</f>
        <v>0</v>
      </c>
      <c r="M83" s="168">
        <f t="shared" ref="M83" si="222">IFERROR(IF(M35&gt;0,AVERAGE(D32:M32)+AVERAGE(D33:M33),0),0)</f>
        <v>0</v>
      </c>
      <c r="N83" s="168">
        <f t="shared" ref="N83" si="223">IFERROR(IF(N35&gt;0,AVERAGE(E32:N32)+AVERAGE(E33:N33),0),0)</f>
        <v>0</v>
      </c>
      <c r="O83" s="168">
        <f t="shared" ref="O83" si="224">IFERROR(IF(O35&gt;0,AVERAGE(F32:O32)+AVERAGE(F33:O33),0),0)</f>
        <v>0</v>
      </c>
      <c r="P83" s="168">
        <f t="shared" ref="P83" si="225">IFERROR(IF(P35&gt;0,AVERAGE(G32:P32)+AVERAGE(G33:P33),0),0)</f>
        <v>0</v>
      </c>
      <c r="Q83" s="168">
        <f t="shared" ref="Q83" si="226">IFERROR(IF(Q35&gt;0,AVERAGE(H32:Q32)+AVERAGE(H33:Q33),0),0)</f>
        <v>0</v>
      </c>
      <c r="R83" s="168">
        <f t="shared" ref="R83" si="227">IFERROR(IF(R35&gt;0,AVERAGE(I32:R32)+AVERAGE(I33:R33),0),0)</f>
        <v>0</v>
      </c>
      <c r="S83" s="168">
        <f t="shared" ref="S83" si="228">IFERROR(IF(S35&gt;0,AVERAGE(J32:S32)+AVERAGE(J33:S33),0),0)</f>
        <v>0</v>
      </c>
      <c r="T83" s="168">
        <f t="shared" ref="T83" si="229">IFERROR(IF(T35&gt;0,AVERAGE(K32:T32)+AVERAGE(K33:T33),0),0)</f>
        <v>0</v>
      </c>
      <c r="U83" s="168">
        <f t="shared" ref="U83" si="230">IFERROR(IF(U35&gt;0,AVERAGE(L32:U32)+AVERAGE(L33:U33),0),0)</f>
        <v>2996.2</v>
      </c>
      <c r="V83" s="168">
        <f t="shared" ref="V83" si="231">IFERROR(IF(V35&gt;0,AVERAGE(M32:V32)+AVERAGE(M33:V33),0),0)</f>
        <v>4793.2</v>
      </c>
      <c r="W83" s="168">
        <f t="shared" ref="W83:X83" si="232">IFERROR(IF(W35&gt;0,AVERAGE(N32:W32)+AVERAGE(N33:W33),0),0)</f>
        <v>4793.2</v>
      </c>
      <c r="X83" s="168">
        <f t="shared" si="232"/>
        <v>4793.2</v>
      </c>
      <c r="Y83" s="24"/>
      <c r="Z83" s="24"/>
      <c r="AA83" s="24"/>
      <c r="AB83" s="24"/>
    </row>
    <row r="84" spans="1:30" s="21" customFormat="1" ht="12">
      <c r="A84" s="213"/>
      <c r="B84" s="23" t="s">
        <v>290</v>
      </c>
      <c r="C84" s="18"/>
      <c r="D84" s="18"/>
      <c r="E84" s="18"/>
      <c r="F84" s="18"/>
      <c r="G84" s="18"/>
      <c r="H84" s="18"/>
      <c r="I84" s="18"/>
      <c r="J84" s="18"/>
      <c r="K84" s="18"/>
      <c r="L84" s="168">
        <f t="shared" ref="L84" si="233">IFERROR(IF(L35&gt;0,AVERAGE(C34:L34),0),0)</f>
        <v>0</v>
      </c>
      <c r="M84" s="168">
        <f t="shared" ref="M84" si="234">IFERROR(IF(M35&gt;0,AVERAGE(D34:M34),0),0)</f>
        <v>0</v>
      </c>
      <c r="N84" s="168">
        <f t="shared" ref="N84" si="235">IFERROR(IF(N35&gt;0,AVERAGE(E34:N34),0),0)</f>
        <v>0</v>
      </c>
      <c r="O84" s="168">
        <f t="shared" ref="O84" si="236">IFERROR(IF(O35&gt;0,AVERAGE(F34:O34),0),0)</f>
        <v>0</v>
      </c>
      <c r="P84" s="168">
        <f t="shared" ref="P84" si="237">IFERROR(IF(P35&gt;0,AVERAGE(G34:P34),0),0)</f>
        <v>0</v>
      </c>
      <c r="Q84" s="168">
        <f t="shared" ref="Q84" si="238">IFERROR(IF(Q35&gt;0,AVERAGE(H34:Q34),0),0)</f>
        <v>0</v>
      </c>
      <c r="R84" s="168">
        <f t="shared" ref="R84" si="239">IFERROR(IF(R35&gt;0,AVERAGE(I34:R34),0),0)</f>
        <v>0</v>
      </c>
      <c r="S84" s="168">
        <f t="shared" ref="S84" si="240">IFERROR(IF(S35&gt;0,AVERAGE(J34:S34),0),0)</f>
        <v>0</v>
      </c>
      <c r="T84" s="168">
        <f t="shared" ref="T84" si="241">IFERROR(IF(T35&gt;0,AVERAGE(K34:T34),0),0)</f>
        <v>0</v>
      </c>
      <c r="U84" s="168">
        <f t="shared" ref="U84" si="242">IFERROR(IF(U35&gt;0,AVERAGE(L34:U34),0),0)</f>
        <v>2995</v>
      </c>
      <c r="V84" s="168">
        <f t="shared" ref="V84" si="243">IFERROR(IF(V35&gt;0,AVERAGE(M34:V34),0),0)</f>
        <v>3624.7</v>
      </c>
      <c r="W84" s="168">
        <f t="shared" ref="W84:X84" si="244">IFERROR(IF(W35&gt;0,AVERAGE(N34:W34),0),0)</f>
        <v>3624.7</v>
      </c>
      <c r="X84" s="168">
        <f t="shared" si="244"/>
        <v>3624.7</v>
      </c>
      <c r="Y84" s="24"/>
      <c r="Z84" s="24"/>
      <c r="AA84" s="24"/>
      <c r="AB84" s="24"/>
    </row>
    <row r="85" spans="1:30" s="21" customFormat="1" ht="12">
      <c r="A85" s="213"/>
      <c r="B85" s="19" t="s">
        <v>291</v>
      </c>
      <c r="C85" s="18"/>
      <c r="D85" s="18"/>
      <c r="E85" s="18"/>
      <c r="F85" s="18"/>
      <c r="G85" s="18"/>
      <c r="H85" s="18"/>
      <c r="I85" s="18"/>
      <c r="J85" s="18"/>
      <c r="K85" s="18"/>
      <c r="L85" s="168">
        <f t="shared" ref="L85:P85" si="245">SUM(L82:L84)</f>
        <v>0</v>
      </c>
      <c r="M85" s="168">
        <f t="shared" si="245"/>
        <v>0</v>
      </c>
      <c r="N85" s="168">
        <f t="shared" si="245"/>
        <v>0</v>
      </c>
      <c r="O85" s="168">
        <f t="shared" si="245"/>
        <v>0</v>
      </c>
      <c r="P85" s="168">
        <f t="shared" si="245"/>
        <v>0</v>
      </c>
      <c r="Q85" s="168">
        <f t="shared" ref="Q85" si="246">SUM(Q82:Q84)</f>
        <v>0</v>
      </c>
      <c r="R85" s="168">
        <f t="shared" ref="R85:W85" si="247">SUM(R82:R84)</f>
        <v>0</v>
      </c>
      <c r="S85" s="168">
        <f t="shared" si="247"/>
        <v>0</v>
      </c>
      <c r="T85" s="168">
        <f t="shared" si="247"/>
        <v>0</v>
      </c>
      <c r="U85" s="168">
        <f t="shared" si="247"/>
        <v>22249.200000000001</v>
      </c>
      <c r="V85" s="168">
        <f t="shared" si="247"/>
        <v>38210.6</v>
      </c>
      <c r="W85" s="168">
        <f t="shared" si="247"/>
        <v>38210.6</v>
      </c>
      <c r="X85" s="168">
        <f t="shared" ref="X85" si="248">SUM(X82:X84)</f>
        <v>38210.6</v>
      </c>
      <c r="Y85" s="24"/>
      <c r="Z85" s="24"/>
      <c r="AA85" s="24"/>
      <c r="AB85" s="24"/>
      <c r="AD85" s="150"/>
    </row>
    <row r="86" spans="1:30" s="21" customFormat="1" ht="12">
      <c r="A86" s="213"/>
      <c r="B86" s="22"/>
      <c r="C86" s="186"/>
      <c r="D86" s="186"/>
      <c r="E86" s="186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</row>
    <row r="87" spans="1:30" s="21" customFormat="1" ht="12">
      <c r="A87" s="213"/>
      <c r="B87" s="22"/>
      <c r="C87" s="186"/>
      <c r="D87" s="186"/>
      <c r="E87" s="186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</row>
    <row r="88" spans="1:30" s="21" customFormat="1" ht="12">
      <c r="A88" s="213"/>
      <c r="B88" s="22"/>
      <c r="C88" s="186"/>
      <c r="D88" s="186"/>
      <c r="E88" s="186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</row>
    <row r="89" spans="1:30" s="21" customFormat="1" ht="12">
      <c r="A89" s="213"/>
      <c r="B89" s="22"/>
      <c r="C89" s="186"/>
      <c r="D89" s="186"/>
      <c r="E89" s="186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</row>
    <row r="90" spans="1:30">
      <c r="B90" s="49"/>
      <c r="C90" s="49"/>
      <c r="D90" s="49"/>
      <c r="E90" s="49"/>
      <c r="F90" s="49"/>
      <c r="G90" s="56"/>
      <c r="H90" s="56"/>
      <c r="I90" s="56"/>
      <c r="J90" s="56"/>
      <c r="K90" s="56"/>
      <c r="L90" s="49"/>
      <c r="M90" s="49"/>
      <c r="N90" s="49"/>
      <c r="O90" s="49"/>
    </row>
    <row r="91" spans="1:30">
      <c r="B91" s="49"/>
      <c r="C91" s="49"/>
      <c r="D91" s="49"/>
      <c r="E91" s="49"/>
      <c r="F91" s="49"/>
      <c r="G91" s="56"/>
      <c r="H91" s="56"/>
      <c r="I91" s="56"/>
      <c r="J91" s="56"/>
      <c r="K91" s="56"/>
      <c r="L91" s="49"/>
      <c r="M91" s="49"/>
      <c r="N91" s="49"/>
      <c r="O91" s="49"/>
    </row>
    <row r="92" spans="1:30">
      <c r="B92" s="188"/>
      <c r="C92" s="49"/>
      <c r="D92" s="49"/>
      <c r="E92" s="49"/>
      <c r="F92" s="49"/>
      <c r="G92" s="56"/>
      <c r="H92" s="56"/>
      <c r="I92" s="56"/>
      <c r="J92" s="56"/>
      <c r="K92" s="56"/>
      <c r="L92" s="49"/>
      <c r="M92" s="49"/>
      <c r="N92" s="49"/>
      <c r="O92" s="49"/>
    </row>
    <row r="93" spans="1:30">
      <c r="B93" s="49"/>
      <c r="C93" s="49"/>
      <c r="D93" s="49"/>
      <c r="E93" s="49"/>
      <c r="F93" s="49"/>
      <c r="G93" s="49"/>
      <c r="H93" s="56"/>
      <c r="I93" s="49"/>
      <c r="J93" s="49"/>
      <c r="K93" s="49"/>
      <c r="L93" s="49"/>
      <c r="M93" s="49"/>
      <c r="N93" s="49"/>
      <c r="O93" s="49"/>
    </row>
    <row r="94" spans="1:30">
      <c r="B94" s="49"/>
      <c r="C94" s="49"/>
      <c r="D94" s="49"/>
      <c r="E94" s="49"/>
      <c r="F94" s="49"/>
      <c r="G94" s="49"/>
      <c r="H94" s="56"/>
      <c r="I94" s="49"/>
      <c r="J94" s="49"/>
      <c r="K94" s="49"/>
      <c r="L94" s="49"/>
      <c r="M94" s="49"/>
      <c r="N94" s="49"/>
      <c r="O94" s="49"/>
    </row>
    <row r="95" spans="1:30">
      <c r="B95" s="49"/>
      <c r="C95" s="49"/>
      <c r="D95" s="49"/>
      <c r="E95" s="49"/>
      <c r="F95" s="49"/>
      <c r="G95" s="49"/>
      <c r="H95" s="56"/>
      <c r="I95" s="49"/>
      <c r="J95" s="49"/>
      <c r="K95" s="49"/>
      <c r="L95" s="49"/>
      <c r="M95" s="49"/>
      <c r="N95" s="49"/>
      <c r="O95" s="49"/>
    </row>
    <row r="96" spans="1:30">
      <c r="B96" s="49"/>
      <c r="C96" s="49"/>
      <c r="D96" s="49"/>
      <c r="E96" s="49"/>
      <c r="F96" s="49"/>
      <c r="G96" s="49"/>
      <c r="H96" s="56"/>
      <c r="I96" s="49"/>
      <c r="J96" s="49"/>
      <c r="K96" s="49"/>
      <c r="L96" s="49"/>
      <c r="M96" s="49"/>
      <c r="N96" s="49"/>
      <c r="O96" s="49"/>
    </row>
    <row r="97" spans="2:15">
      <c r="B97" s="49"/>
      <c r="C97" s="49"/>
      <c r="D97" s="49"/>
      <c r="E97" s="49"/>
      <c r="F97" s="49"/>
      <c r="G97" s="49"/>
      <c r="H97" s="56"/>
      <c r="I97" s="49"/>
      <c r="J97" s="49"/>
      <c r="K97" s="49"/>
      <c r="L97" s="49"/>
      <c r="M97" s="49"/>
      <c r="N97" s="49"/>
      <c r="O97" s="49"/>
    </row>
    <row r="98" spans="2:1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</row>
    <row r="99" spans="2:1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</row>
    <row r="100" spans="2:1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</row>
    <row r="101" spans="2:1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</row>
    <row r="102" spans="2:1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</row>
    <row r="103" spans="2:1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</row>
    <row r="104" spans="2:1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</row>
    <row r="105" spans="2:15"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</row>
    <row r="106" spans="2:15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</row>
    <row r="107" spans="2:15"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</row>
    <row r="108" spans="2:15"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</row>
    <row r="109" spans="2:15"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</row>
    <row r="110" spans="2:15"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</row>
    <row r="111" spans="2:15"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</row>
    <row r="112" spans="2:15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</row>
    <row r="113" spans="2:15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</row>
    <row r="114" spans="2:15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</row>
    <row r="115" spans="2:15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</row>
    <row r="116" spans="2:15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</row>
    <row r="117" spans="2:15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</row>
    <row r="118" spans="2:15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</row>
    <row r="119" spans="2:15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</row>
    <row r="120" spans="2:15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</row>
    <row r="121" spans="2:15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</row>
    <row r="122" spans="2:15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</row>
    <row r="123" spans="2:15">
      <c r="C123" s="49"/>
      <c r="D123" s="49"/>
      <c r="E123" s="49"/>
      <c r="F123" s="49"/>
      <c r="G123" s="49"/>
      <c r="H123" s="49"/>
      <c r="I123" s="49"/>
      <c r="J123" s="49"/>
      <c r="K123" s="49"/>
      <c r="L123" s="49"/>
    </row>
    <row r="124" spans="2:15">
      <c r="C124" s="49"/>
      <c r="D124" s="49"/>
      <c r="E124" s="49"/>
      <c r="F124" s="49"/>
      <c r="G124" s="49"/>
      <c r="H124" s="49"/>
      <c r="I124" s="49"/>
      <c r="J124" s="49"/>
      <c r="K124" s="49"/>
      <c r="L124" s="49"/>
    </row>
    <row r="125" spans="2:15">
      <c r="C125" s="49"/>
      <c r="D125" s="49"/>
      <c r="E125" s="49"/>
      <c r="F125" s="49"/>
      <c r="G125" s="49"/>
      <c r="H125" s="49"/>
      <c r="I125" s="49"/>
      <c r="J125" s="49"/>
      <c r="K125" s="49"/>
      <c r="L125" s="49"/>
    </row>
    <row r="126" spans="2:15"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  <row r="127" spans="2:15">
      <c r="F127" s="49"/>
      <c r="G127" s="49"/>
      <c r="H127" s="49"/>
      <c r="I127" s="49"/>
      <c r="J127" s="49"/>
      <c r="K127" s="49"/>
      <c r="L127" s="49"/>
    </row>
    <row r="128" spans="2:15">
      <c r="G128" s="49"/>
      <c r="H128" s="49"/>
      <c r="I128" s="49"/>
      <c r="J128" s="49"/>
      <c r="K128" s="49"/>
      <c r="L128" s="49"/>
    </row>
    <row r="129" spans="7:11">
      <c r="G129" s="49"/>
      <c r="H129" s="49"/>
      <c r="I129" s="49"/>
      <c r="J129" s="49"/>
      <c r="K129" s="49"/>
    </row>
    <row r="130" spans="7:11">
      <c r="G130" s="49"/>
      <c r="H130" s="49"/>
      <c r="I130" s="49"/>
      <c r="J130" s="49"/>
      <c r="K130" s="49"/>
    </row>
    <row r="131" spans="7:11">
      <c r="G131" s="49"/>
      <c r="H131" s="49"/>
      <c r="I131" s="49"/>
      <c r="J131" s="49"/>
      <c r="K131" s="49"/>
    </row>
    <row r="132" spans="7:11">
      <c r="G132" s="49"/>
      <c r="H132" s="49"/>
      <c r="I132" s="49"/>
      <c r="J132" s="49"/>
      <c r="K132" s="49"/>
    </row>
    <row r="133" spans="7:11">
      <c r="G133" s="49"/>
      <c r="H133" s="49"/>
      <c r="I133" s="49"/>
      <c r="J133" s="49"/>
      <c r="K133" s="49"/>
    </row>
    <row r="134" spans="7:11">
      <c r="H134" s="49"/>
      <c r="I134" s="49"/>
      <c r="J134" s="49"/>
      <c r="K134" s="49"/>
    </row>
    <row r="135" spans="7:11">
      <c r="H135" s="49"/>
      <c r="I135" s="49"/>
    </row>
    <row r="136" spans="7:11">
      <c r="H136" s="49"/>
      <c r="I136" s="49"/>
    </row>
    <row r="137" spans="7:11">
      <c r="H137" s="49"/>
      <c r="I137" s="49"/>
    </row>
    <row r="138" spans="7:11">
      <c r="H138" s="49"/>
      <c r="I138" s="49"/>
    </row>
  </sheetData>
  <sheetProtection formatCells="0" formatColumns="0" formatRows="0" insertColumns="0"/>
  <phoneticPr fontId="40" type="noConversion"/>
  <conditionalFormatting sqref="C28:AB28">
    <cfRule type="cellIs" dxfId="0" priority="1" operator="lessThan">
      <formula>0</formula>
    </cfRule>
  </conditionalFormatting>
  <hyperlinks>
    <hyperlink ref="AE39" location="Debt!A1" display="See Debt" xr:uid="{00000000-0004-0000-0400-000000000000}"/>
  </hyperlinks>
  <pageMargins left="0.25" right="0.25" top="0.5" bottom="0.5" header="0.3" footer="0.3"/>
  <pageSetup scale="80" fitToHeight="0" orientation="landscape" r:id="rId1"/>
  <headerFooter>
    <oddFooter>&amp;L&amp;9&amp;A&amp;C&amp;10page &amp;P of &amp;N&amp;R&amp;9&amp;D</oddFooter>
  </headerFooter>
  <rowBreaks count="1" manualBreakCount="1">
    <brk id="49" max="25" man="1"/>
  </rowBreaks>
  <ignoredErrors>
    <ignoredError sqref="E70:W85 X70:X85" formulaRange="1"/>
    <ignoredError sqref="D47:U47 V39:V40 C42 W39:W41 X39:X41 Y39:Y41 Z43:Z46 U39:U40 C41:I41 C40:T40 K41:U41 C39:I39 K39:T39 X43:X44 Y43:Y46 Y48:Y5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AH76"/>
  <sheetViews>
    <sheetView zoomScaleNormal="100" zoomScaleSheetLayoutView="100" workbookViewId="0">
      <pane xSplit="2" ySplit="4" topLeftCell="U36" activePane="bottomRight" state="frozen"/>
      <selection pane="bottomRight" activeCell="X48" sqref="X48"/>
      <selection pane="bottomLeft" activeCell="A5" sqref="A5"/>
      <selection pane="topRight" activeCell="B1" sqref="B1"/>
    </sheetView>
  </sheetViews>
  <sheetFormatPr defaultColWidth="9" defaultRowHeight="12"/>
  <cols>
    <col min="1" max="1" width="2.5" style="671" customWidth="1"/>
    <col min="2" max="2" width="27.625" style="242" customWidth="1"/>
    <col min="3" max="7" width="10.125" style="242" customWidth="1"/>
    <col min="8" max="29" width="9.25" style="242" customWidth="1"/>
    <col min="30" max="30" width="8" style="242" customWidth="1"/>
    <col min="31" max="31" width="68.125" style="381" bestFit="1" customWidth="1"/>
    <col min="32" max="16384" width="9" style="242"/>
  </cols>
  <sheetData>
    <row r="1" spans="1:34" s="266" customFormat="1">
      <c r="A1" s="335"/>
      <c r="B1" s="389" t="str">
        <f>Summary!B1</f>
        <v>Municipality of Berkley</v>
      </c>
      <c r="C1" s="273"/>
      <c r="D1" s="273"/>
      <c r="E1" s="273"/>
      <c r="F1" s="273"/>
      <c r="G1" s="331"/>
      <c r="H1" s="331"/>
      <c r="I1" s="242"/>
      <c r="J1" s="242"/>
      <c r="K1" s="242"/>
      <c r="L1" s="242"/>
      <c r="M1" s="242"/>
      <c r="AC1" s="332"/>
      <c r="AD1" s="332"/>
      <c r="AE1" s="873"/>
    </row>
    <row r="2" spans="1:34" s="334" customFormat="1">
      <c r="A2" s="670"/>
      <c r="B2" s="333" t="s">
        <v>294</v>
      </c>
      <c r="C2" s="333"/>
      <c r="D2" s="333"/>
      <c r="E2" s="333"/>
      <c r="F2" s="333"/>
      <c r="G2" s="333"/>
      <c r="H2" s="333"/>
      <c r="I2" s="245"/>
      <c r="J2" s="245"/>
      <c r="K2" s="245"/>
      <c r="L2" s="245"/>
      <c r="M2" s="245"/>
      <c r="AD2" s="332"/>
      <c r="AE2" s="381"/>
    </row>
    <row r="3" spans="1:34" s="336" customFormat="1">
      <c r="A3" s="335"/>
      <c r="C3" s="362" t="s">
        <v>82</v>
      </c>
      <c r="D3" s="6" t="s">
        <v>83</v>
      </c>
      <c r="E3" s="6" t="s">
        <v>84</v>
      </c>
      <c r="F3" s="6" t="s">
        <v>85</v>
      </c>
      <c r="G3" s="6" t="s">
        <v>86</v>
      </c>
      <c r="H3" s="267" t="s">
        <v>87</v>
      </c>
      <c r="I3" s="267" t="s">
        <v>88</v>
      </c>
      <c r="J3" s="267" t="s">
        <v>89</v>
      </c>
      <c r="K3" s="267" t="s">
        <v>90</v>
      </c>
      <c r="L3" s="267" t="s">
        <v>91</v>
      </c>
      <c r="M3" s="267" t="s">
        <v>92</v>
      </c>
      <c r="N3" s="267" t="s">
        <v>93</v>
      </c>
      <c r="O3" s="267" t="s">
        <v>94</v>
      </c>
      <c r="P3" s="267" t="s">
        <v>95</v>
      </c>
      <c r="Q3" s="267" t="s">
        <v>96</v>
      </c>
      <c r="R3" s="267" t="s">
        <v>97</v>
      </c>
      <c r="S3" s="267" t="s">
        <v>98</v>
      </c>
      <c r="T3" s="267" t="s">
        <v>99</v>
      </c>
      <c r="U3" s="267" t="s">
        <v>100</v>
      </c>
      <c r="V3" s="267" t="s">
        <v>101</v>
      </c>
      <c r="W3" s="267" t="s">
        <v>102</v>
      </c>
      <c r="X3" s="267" t="s">
        <v>103</v>
      </c>
      <c r="Y3" s="267" t="s">
        <v>104</v>
      </c>
      <c r="Z3" s="267" t="s">
        <v>105</v>
      </c>
      <c r="AA3" s="267" t="s">
        <v>106</v>
      </c>
      <c r="AB3" s="267" t="s">
        <v>107</v>
      </c>
      <c r="AC3" s="651" t="s">
        <v>212</v>
      </c>
      <c r="AD3" s="652" t="s">
        <v>157</v>
      </c>
      <c r="AE3" s="874"/>
    </row>
    <row r="4" spans="1:34" s="332" customFormat="1">
      <c r="A4" s="337"/>
      <c r="B4" s="338"/>
      <c r="C4" s="301" t="s">
        <v>295</v>
      </c>
      <c r="D4" s="301" t="s">
        <v>295</v>
      </c>
      <c r="E4" s="301" t="s">
        <v>295</v>
      </c>
      <c r="F4" s="301" t="s">
        <v>295</v>
      </c>
      <c r="G4" s="301" t="s">
        <v>295</v>
      </c>
      <c r="H4" s="301" t="s">
        <v>295</v>
      </c>
      <c r="I4" s="301" t="s">
        <v>295</v>
      </c>
      <c r="J4" s="301" t="s">
        <v>295</v>
      </c>
      <c r="K4" s="301" t="s">
        <v>295</v>
      </c>
      <c r="L4" s="301" t="s">
        <v>295</v>
      </c>
      <c r="M4" s="301" t="s">
        <v>295</v>
      </c>
      <c r="N4" s="301" t="s">
        <v>295</v>
      </c>
      <c r="O4" s="301" t="s">
        <v>295</v>
      </c>
      <c r="P4" s="301" t="s">
        <v>295</v>
      </c>
      <c r="Q4" s="301" t="s">
        <v>295</v>
      </c>
      <c r="R4" s="301" t="s">
        <v>295</v>
      </c>
      <c r="S4" s="301" t="s">
        <v>295</v>
      </c>
      <c r="T4" s="301" t="s">
        <v>295</v>
      </c>
      <c r="U4" s="301" t="s">
        <v>295</v>
      </c>
      <c r="V4" s="301" t="s">
        <v>295</v>
      </c>
      <c r="W4" s="301" t="s">
        <v>158</v>
      </c>
      <c r="X4" s="301" t="s">
        <v>158</v>
      </c>
      <c r="Y4" s="301" t="s">
        <v>159</v>
      </c>
      <c r="Z4" s="301" t="s">
        <v>159</v>
      </c>
      <c r="AA4" s="301" t="s">
        <v>159</v>
      </c>
      <c r="AB4" s="301" t="s">
        <v>159</v>
      </c>
      <c r="AC4" s="651" t="s">
        <v>213</v>
      </c>
      <c r="AD4" s="652" t="s">
        <v>160</v>
      </c>
      <c r="AE4" s="337"/>
    </row>
    <row r="5" spans="1:34" s="332" customFormat="1">
      <c r="A5" s="337"/>
      <c r="B5" s="338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39"/>
      <c r="AD5" s="339"/>
      <c r="AE5" s="337"/>
    </row>
    <row r="6" spans="1:34">
      <c r="A6" s="671" t="s">
        <v>142</v>
      </c>
      <c r="B6" s="347" t="s">
        <v>296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E6" s="873" t="s">
        <v>297</v>
      </c>
    </row>
    <row r="7" spans="1:34" s="266" customFormat="1">
      <c r="A7" s="672" t="s">
        <v>217</v>
      </c>
      <c r="B7" s="275" t="s">
        <v>298</v>
      </c>
      <c r="C7" s="594">
        <v>0</v>
      </c>
      <c r="D7" s="594">
        <v>0</v>
      </c>
      <c r="E7" s="594">
        <v>0</v>
      </c>
      <c r="F7" s="594">
        <v>0</v>
      </c>
      <c r="G7" s="956">
        <v>5426422</v>
      </c>
      <c r="H7" s="956">
        <v>5109411</v>
      </c>
      <c r="I7" s="956">
        <v>3805913</v>
      </c>
      <c r="J7" s="956">
        <v>3837513</v>
      </c>
      <c r="K7" s="956">
        <v>3856463</v>
      </c>
      <c r="L7" s="956">
        <v>3875013</v>
      </c>
      <c r="M7" s="956">
        <v>3893088</v>
      </c>
      <c r="N7" s="956">
        <v>3934448</v>
      </c>
      <c r="O7" s="956">
        <v>3957968</v>
      </c>
      <c r="P7" s="956">
        <v>3981188</v>
      </c>
      <c r="Q7" s="956">
        <v>4003448</v>
      </c>
      <c r="R7" s="956">
        <v>4003448</v>
      </c>
      <c r="S7" s="956">
        <v>4025438</v>
      </c>
      <c r="T7" s="956">
        <v>4068938</v>
      </c>
      <c r="U7" s="956">
        <v>4151920</v>
      </c>
      <c r="V7" s="350">
        <v>4222848</v>
      </c>
      <c r="W7" s="350">
        <v>4318848</v>
      </c>
      <c r="X7" s="350">
        <v>4414688</v>
      </c>
      <c r="Y7" s="350">
        <f t="shared" ref="W7:Z10" si="0">X7*(1+$AD7)</f>
        <v>4458834.88</v>
      </c>
      <c r="Z7" s="350">
        <f t="shared" si="0"/>
        <v>4503423.2287999997</v>
      </c>
      <c r="AA7" s="350">
        <f t="shared" ref="AA7:AB7" si="1">Z7*(1+$AD7)</f>
        <v>4548457.4610879999</v>
      </c>
      <c r="AB7" s="350">
        <f t="shared" si="1"/>
        <v>4593942.0356988795</v>
      </c>
      <c r="AC7" s="247">
        <f t="shared" ref="AC7:AC22" si="2">IFERROR(AVERAGE((M7-L7)/L7,(N7-M7)/M7,(O7-N7)/N7,(P7-O7)/O7,(Q7-P7)/P7,(R7-Q7)/Q7),"")</f>
        <v>5.4540611860985425E-3</v>
      </c>
      <c r="AD7" s="247">
        <v>0.01</v>
      </c>
      <c r="AE7" s="875" t="s">
        <v>299</v>
      </c>
      <c r="AF7" s="340"/>
      <c r="AH7" s="341"/>
    </row>
    <row r="8" spans="1:34" s="266" customFormat="1">
      <c r="A8" s="671"/>
      <c r="B8" s="275" t="s">
        <v>300</v>
      </c>
      <c r="C8" s="594">
        <v>0</v>
      </c>
      <c r="D8" s="594">
        <v>0</v>
      </c>
      <c r="E8" s="594">
        <v>0</v>
      </c>
      <c r="F8" s="594">
        <v>0</v>
      </c>
      <c r="G8" s="594">
        <v>0</v>
      </c>
      <c r="H8" s="594">
        <v>0</v>
      </c>
      <c r="I8" s="594">
        <v>0</v>
      </c>
      <c r="J8" s="594">
        <v>0</v>
      </c>
      <c r="K8" s="594">
        <v>0</v>
      </c>
      <c r="L8" s="594">
        <v>0</v>
      </c>
      <c r="M8" s="594">
        <v>0</v>
      </c>
      <c r="N8" s="594">
        <v>0</v>
      </c>
      <c r="O8" s="594">
        <v>0</v>
      </c>
      <c r="P8" s="594">
        <v>0</v>
      </c>
      <c r="Q8" s="594">
        <v>0</v>
      </c>
      <c r="R8" s="350">
        <v>0</v>
      </c>
      <c r="S8" s="350">
        <v>0</v>
      </c>
      <c r="T8" s="350">
        <v>0</v>
      </c>
      <c r="U8" s="350">
        <v>0</v>
      </c>
      <c r="V8" s="350">
        <f>U8*(1+$AD7)</f>
        <v>0</v>
      </c>
      <c r="W8" s="350">
        <f t="shared" si="0"/>
        <v>0</v>
      </c>
      <c r="X8" s="350">
        <f t="shared" si="0"/>
        <v>0</v>
      </c>
      <c r="Y8" s="350">
        <f t="shared" si="0"/>
        <v>0</v>
      </c>
      <c r="Z8" s="350">
        <f t="shared" si="0"/>
        <v>0</v>
      </c>
      <c r="AA8" s="350">
        <f t="shared" ref="AA8:AB8" si="3">Z8*(1+$AD8)</f>
        <v>0</v>
      </c>
      <c r="AB8" s="350">
        <f t="shared" si="3"/>
        <v>0</v>
      </c>
      <c r="AC8" s="247" t="str">
        <f t="shared" si="2"/>
        <v/>
      </c>
      <c r="AD8" s="392">
        <v>0</v>
      </c>
      <c r="AE8" s="873"/>
      <c r="AF8" s="340"/>
      <c r="AH8" s="341"/>
    </row>
    <row r="9" spans="1:34" s="266" customFormat="1">
      <c r="A9" s="671"/>
      <c r="B9" s="275" t="s">
        <v>301</v>
      </c>
      <c r="C9" s="594">
        <v>0</v>
      </c>
      <c r="D9" s="594">
        <v>0</v>
      </c>
      <c r="E9" s="594">
        <v>0</v>
      </c>
      <c r="F9" s="594">
        <v>0</v>
      </c>
      <c r="G9" s="594">
        <v>0</v>
      </c>
      <c r="H9" s="594">
        <v>0</v>
      </c>
      <c r="I9" s="594">
        <v>0</v>
      </c>
      <c r="J9" s="594">
        <v>0</v>
      </c>
      <c r="K9" s="594">
        <v>0</v>
      </c>
      <c r="L9" s="957">
        <v>893</v>
      </c>
      <c r="M9" s="956">
        <v>11739</v>
      </c>
      <c r="N9" s="957">
        <v>0</v>
      </c>
      <c r="O9" s="957">
        <v>0</v>
      </c>
      <c r="P9" s="957">
        <v>0</v>
      </c>
      <c r="Q9" s="957">
        <v>0</v>
      </c>
      <c r="R9" s="956">
        <v>26122</v>
      </c>
      <c r="S9" s="956">
        <v>2773</v>
      </c>
      <c r="T9" s="956">
        <v>16885</v>
      </c>
      <c r="U9" s="350">
        <v>0</v>
      </c>
      <c r="V9" s="350">
        <f>U9*(1+$AD9)</f>
        <v>0</v>
      </c>
      <c r="W9" s="350">
        <f t="shared" si="0"/>
        <v>0</v>
      </c>
      <c r="X9" s="350">
        <f t="shared" si="0"/>
        <v>0</v>
      </c>
      <c r="Y9" s="350">
        <f t="shared" si="0"/>
        <v>0</v>
      </c>
      <c r="Z9" s="350">
        <f t="shared" si="0"/>
        <v>0</v>
      </c>
      <c r="AA9" s="350">
        <f t="shared" ref="AA9:AB9" si="4">Z9*(1+$AD9)</f>
        <v>0</v>
      </c>
      <c r="AB9" s="350">
        <f t="shared" si="4"/>
        <v>0</v>
      </c>
      <c r="AC9" s="247" t="str">
        <f t="shared" si="2"/>
        <v/>
      </c>
      <c r="AD9" s="392">
        <v>0</v>
      </c>
      <c r="AE9" s="873"/>
      <c r="AF9" s="340"/>
      <c r="AH9" s="341"/>
    </row>
    <row r="10" spans="1:34" s="266" customFormat="1">
      <c r="A10" s="671"/>
      <c r="B10" s="275" t="s">
        <v>302</v>
      </c>
      <c r="C10" s="594">
        <v>0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0</v>
      </c>
      <c r="J10" s="594">
        <v>0</v>
      </c>
      <c r="K10" s="594">
        <v>0</v>
      </c>
      <c r="L10" s="594">
        <v>0</v>
      </c>
      <c r="M10" s="594">
        <v>0</v>
      </c>
      <c r="N10" s="594">
        <v>0</v>
      </c>
      <c r="O10" s="594">
        <v>0</v>
      </c>
      <c r="P10" s="594">
        <v>0</v>
      </c>
      <c r="Q10" s="595">
        <v>0</v>
      </c>
      <c r="R10" s="350">
        <v>0</v>
      </c>
      <c r="S10" s="350">
        <v>0</v>
      </c>
      <c r="T10" s="350">
        <v>0</v>
      </c>
      <c r="U10" s="350">
        <v>0</v>
      </c>
      <c r="V10" s="350">
        <f>U10*(1+$AD10)</f>
        <v>0</v>
      </c>
      <c r="W10" s="350">
        <f t="shared" si="0"/>
        <v>0</v>
      </c>
      <c r="X10" s="350">
        <f t="shared" si="0"/>
        <v>0</v>
      </c>
      <c r="Y10" s="350">
        <f t="shared" si="0"/>
        <v>0</v>
      </c>
      <c r="Z10" s="350">
        <f t="shared" si="0"/>
        <v>0</v>
      </c>
      <c r="AA10" s="350">
        <f t="shared" ref="AA10:AB10" si="5">Z10*(1+$AD10)</f>
        <v>0</v>
      </c>
      <c r="AB10" s="350">
        <f t="shared" si="5"/>
        <v>0</v>
      </c>
      <c r="AC10" s="247" t="str">
        <f t="shared" si="2"/>
        <v/>
      </c>
      <c r="AD10" s="392">
        <v>0</v>
      </c>
      <c r="AE10" s="873"/>
      <c r="AF10" s="340"/>
      <c r="AH10" s="341"/>
    </row>
    <row r="11" spans="1:34" s="266" customFormat="1">
      <c r="A11" s="672" t="s">
        <v>220</v>
      </c>
      <c r="B11" s="556" t="s">
        <v>303</v>
      </c>
      <c r="C11" s="691">
        <v>0</v>
      </c>
      <c r="D11" s="691">
        <v>0</v>
      </c>
      <c r="E11" s="691">
        <v>0</v>
      </c>
      <c r="F11" s="691">
        <v>0</v>
      </c>
      <c r="G11" s="956">
        <v>5528</v>
      </c>
      <c r="H11" s="956">
        <v>4534</v>
      </c>
      <c r="I11" s="957">
        <v>0</v>
      </c>
      <c r="J11" s="956">
        <v>5365</v>
      </c>
      <c r="K11" s="957">
        <v>0</v>
      </c>
      <c r="L11" s="956">
        <v>5062</v>
      </c>
      <c r="M11" s="957">
        <v>0</v>
      </c>
      <c r="N11" s="957">
        <v>0</v>
      </c>
      <c r="O11" s="957">
        <v>0</v>
      </c>
      <c r="P11" s="957">
        <v>0</v>
      </c>
      <c r="Q11" s="957">
        <v>0</v>
      </c>
      <c r="R11" s="957">
        <v>0</v>
      </c>
      <c r="S11" s="957">
        <v>0</v>
      </c>
      <c r="T11" s="957">
        <v>0</v>
      </c>
      <c r="U11" s="957">
        <v>0</v>
      </c>
      <c r="V11" s="18"/>
      <c r="W11" s="18"/>
      <c r="X11" s="18"/>
      <c r="Y11" s="18"/>
      <c r="Z11" s="18"/>
      <c r="AA11" s="18"/>
      <c r="AB11" s="18"/>
      <c r="AC11" s="247" t="str">
        <f t="shared" si="2"/>
        <v/>
      </c>
      <c r="AD11" s="669"/>
      <c r="AE11" s="873" t="s">
        <v>304</v>
      </c>
      <c r="AF11" s="340"/>
      <c r="AH11" s="341"/>
    </row>
    <row r="12" spans="1:34" s="266" customFormat="1" ht="12.75" thickBot="1">
      <c r="A12" s="671"/>
      <c r="B12" s="478" t="s">
        <v>305</v>
      </c>
      <c r="C12" s="596">
        <v>0</v>
      </c>
      <c r="D12" s="596">
        <v>0</v>
      </c>
      <c r="E12" s="596">
        <v>0</v>
      </c>
      <c r="F12" s="596">
        <v>0</v>
      </c>
      <c r="G12" s="958">
        <v>96495</v>
      </c>
      <c r="H12" s="958">
        <v>111428</v>
      </c>
      <c r="I12" s="958">
        <v>117914</v>
      </c>
      <c r="J12" s="958">
        <v>193549</v>
      </c>
      <c r="K12" s="958">
        <v>268185</v>
      </c>
      <c r="L12" s="958">
        <v>334467</v>
      </c>
      <c r="M12" s="958">
        <v>396688</v>
      </c>
      <c r="N12" s="958">
        <v>520800</v>
      </c>
      <c r="O12" s="958">
        <v>529508</v>
      </c>
      <c r="P12" s="958">
        <v>502633</v>
      </c>
      <c r="Q12" s="958">
        <v>521847</v>
      </c>
      <c r="R12" s="958">
        <v>647261</v>
      </c>
      <c r="S12" s="958">
        <v>679612</v>
      </c>
      <c r="T12" s="958">
        <v>659651</v>
      </c>
      <c r="U12" s="958">
        <v>744941</v>
      </c>
      <c r="V12" s="350">
        <v>904058</v>
      </c>
      <c r="W12" s="481">
        <v>973418</v>
      </c>
      <c r="X12" s="481">
        <v>1153220</v>
      </c>
      <c r="Y12" s="481">
        <f t="shared" ref="W12:Z15" si="6">X12*(1+$AD12)</f>
        <v>1245477.6000000001</v>
      </c>
      <c r="Z12" s="481">
        <f t="shared" si="6"/>
        <v>1345115.8080000002</v>
      </c>
      <c r="AA12" s="481">
        <f t="shared" ref="AA12:AB12" si="7">Z12*(1+$AD12)</f>
        <v>1452725.0726400004</v>
      </c>
      <c r="AB12" s="481">
        <f t="shared" si="7"/>
        <v>1568943.0784512006</v>
      </c>
      <c r="AC12" s="247">
        <f t="shared" si="2"/>
        <v>0.12390341506830248</v>
      </c>
      <c r="AD12" s="392">
        <v>0.08</v>
      </c>
      <c r="AE12" s="873" t="s">
        <v>306</v>
      </c>
      <c r="AF12" s="340"/>
      <c r="AH12" s="341"/>
    </row>
    <row r="13" spans="1:34">
      <c r="A13" s="672" t="s">
        <v>222</v>
      </c>
      <c r="B13" s="477" t="s">
        <v>307</v>
      </c>
      <c r="C13" s="597">
        <v>0</v>
      </c>
      <c r="D13" s="597">
        <v>0</v>
      </c>
      <c r="E13" s="597">
        <v>0</v>
      </c>
      <c r="F13" s="597">
        <v>0</v>
      </c>
      <c r="G13" s="959">
        <v>536079</v>
      </c>
      <c r="H13" s="959">
        <v>514636</v>
      </c>
      <c r="I13" s="959">
        <v>477426</v>
      </c>
      <c r="J13" s="959">
        <v>514636</v>
      </c>
      <c r="K13" s="959">
        <v>526801</v>
      </c>
      <c r="L13" s="959">
        <v>541410</v>
      </c>
      <c r="M13" s="959">
        <v>560901</v>
      </c>
      <c r="N13" s="959">
        <v>585020</v>
      </c>
      <c r="O13" s="959">
        <v>607836</v>
      </c>
      <c r="P13" s="959">
        <v>629110</v>
      </c>
      <c r="Q13" s="959">
        <v>646096</v>
      </c>
      <c r="R13" s="959">
        <v>646096</v>
      </c>
      <c r="S13" s="959">
        <v>668709</v>
      </c>
      <c r="T13" s="959">
        <v>704819</v>
      </c>
      <c r="U13" s="960">
        <v>727374</v>
      </c>
      <c r="V13" s="598">
        <v>749194</v>
      </c>
      <c r="W13" s="598">
        <v>757435</v>
      </c>
      <c r="X13" s="598">
        <v>763160</v>
      </c>
      <c r="Y13" s="598">
        <f t="shared" si="6"/>
        <v>773081.08</v>
      </c>
      <c r="Z13" s="598">
        <f t="shared" si="6"/>
        <v>783131.13403999992</v>
      </c>
      <c r="AA13" s="598">
        <f t="shared" ref="AA13:AB13" si="8">Z13*(1+$AD13)</f>
        <v>793311.8387825198</v>
      </c>
      <c r="AB13" s="598">
        <f t="shared" si="8"/>
        <v>803624.89268669253</v>
      </c>
      <c r="AC13" s="247">
        <f t="shared" si="2"/>
        <v>3.0000149578887112E-2</v>
      </c>
      <c r="AD13" s="392">
        <v>1.2999999999999999E-2</v>
      </c>
      <c r="AE13" s="381" t="s">
        <v>308</v>
      </c>
      <c r="AF13" s="342"/>
    </row>
    <row r="14" spans="1:34">
      <c r="A14" s="672"/>
      <c r="B14" s="275" t="s">
        <v>309</v>
      </c>
      <c r="C14" s="594">
        <v>0</v>
      </c>
      <c r="D14" s="594">
        <v>0</v>
      </c>
      <c r="E14" s="594">
        <v>0</v>
      </c>
      <c r="F14" s="594">
        <v>0</v>
      </c>
      <c r="G14" s="594">
        <v>0</v>
      </c>
      <c r="H14" s="594">
        <v>0</v>
      </c>
      <c r="I14" s="594">
        <v>0</v>
      </c>
      <c r="J14" s="594">
        <v>0</v>
      </c>
      <c r="K14" s="594">
        <v>0</v>
      </c>
      <c r="L14" s="594">
        <v>0</v>
      </c>
      <c r="M14" s="594">
        <v>0</v>
      </c>
      <c r="N14" s="594">
        <v>0</v>
      </c>
      <c r="O14" s="594">
        <v>0</v>
      </c>
      <c r="P14" s="594">
        <v>0</v>
      </c>
      <c r="Q14" s="595">
        <v>0</v>
      </c>
      <c r="R14" s="350">
        <v>0</v>
      </c>
      <c r="S14" s="350">
        <v>0</v>
      </c>
      <c r="T14" s="350">
        <v>0</v>
      </c>
      <c r="U14" s="350">
        <v>0</v>
      </c>
      <c r="V14" s="350">
        <f>U14*(1+$AD14)</f>
        <v>0</v>
      </c>
      <c r="W14" s="350">
        <f t="shared" si="6"/>
        <v>0</v>
      </c>
      <c r="X14" s="350">
        <f t="shared" si="6"/>
        <v>0</v>
      </c>
      <c r="Y14" s="350">
        <f t="shared" si="6"/>
        <v>0</v>
      </c>
      <c r="Z14" s="350">
        <f t="shared" si="6"/>
        <v>0</v>
      </c>
      <c r="AA14" s="350">
        <f t="shared" ref="AA14:AB14" si="9">Z14*(1+$AD14)</f>
        <v>0</v>
      </c>
      <c r="AB14" s="350">
        <f t="shared" si="9"/>
        <v>0</v>
      </c>
      <c r="AC14" s="247" t="str">
        <f t="shared" si="2"/>
        <v/>
      </c>
      <c r="AD14" s="669"/>
      <c r="AF14" s="342"/>
    </row>
    <row r="15" spans="1:34">
      <c r="A15" s="672"/>
      <c r="B15" s="275" t="s">
        <v>310</v>
      </c>
      <c r="C15" s="594">
        <v>0</v>
      </c>
      <c r="D15" s="594">
        <v>0</v>
      </c>
      <c r="E15" s="594">
        <v>0</v>
      </c>
      <c r="F15" s="594">
        <v>0</v>
      </c>
      <c r="G15" s="594">
        <v>0</v>
      </c>
      <c r="H15" s="594">
        <v>0</v>
      </c>
      <c r="I15" s="594">
        <v>0</v>
      </c>
      <c r="J15" s="594">
        <v>0</v>
      </c>
      <c r="K15" s="594">
        <v>0</v>
      </c>
      <c r="L15" s="594">
        <v>0</v>
      </c>
      <c r="M15" s="594">
        <v>0</v>
      </c>
      <c r="N15" s="594">
        <v>0</v>
      </c>
      <c r="O15" s="594">
        <v>0</v>
      </c>
      <c r="P15" s="594">
        <v>0</v>
      </c>
      <c r="Q15" s="595">
        <v>0</v>
      </c>
      <c r="R15" s="350">
        <v>0</v>
      </c>
      <c r="S15" s="350">
        <v>0</v>
      </c>
      <c r="T15" s="350">
        <v>0</v>
      </c>
      <c r="U15" s="350">
        <v>0</v>
      </c>
      <c r="V15" s="350">
        <f>U15*(1+$AD15)</f>
        <v>0</v>
      </c>
      <c r="W15" s="350">
        <f t="shared" si="6"/>
        <v>0</v>
      </c>
      <c r="X15" s="350">
        <f t="shared" si="6"/>
        <v>0</v>
      </c>
      <c r="Y15" s="350">
        <f t="shared" si="6"/>
        <v>0</v>
      </c>
      <c r="Z15" s="350">
        <f t="shared" si="6"/>
        <v>0</v>
      </c>
      <c r="AA15" s="350">
        <f t="shared" ref="AA15:AB15" si="10">Z15*(1+$AD15)</f>
        <v>0</v>
      </c>
      <c r="AB15" s="350">
        <f t="shared" si="10"/>
        <v>0</v>
      </c>
      <c r="AC15" s="247" t="str">
        <f t="shared" si="2"/>
        <v/>
      </c>
      <c r="AD15" s="392">
        <v>0</v>
      </c>
      <c r="AF15" s="342"/>
    </row>
    <row r="16" spans="1:34">
      <c r="A16" s="672" t="s">
        <v>220</v>
      </c>
      <c r="B16" s="343" t="s">
        <v>311</v>
      </c>
      <c r="C16" s="594">
        <v>0</v>
      </c>
      <c r="D16" s="594">
        <v>0</v>
      </c>
      <c r="E16" s="594">
        <v>0</v>
      </c>
      <c r="F16" s="594">
        <v>0</v>
      </c>
      <c r="G16" s="956">
        <v>4275</v>
      </c>
      <c r="H16" s="956">
        <v>2061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247" t="str">
        <f t="shared" si="2"/>
        <v/>
      </c>
      <c r="AE16" s="873" t="s">
        <v>312</v>
      </c>
      <c r="AF16" s="342"/>
      <c r="AG16" s="342"/>
      <c r="AH16" s="344"/>
    </row>
    <row r="17" spans="1:34">
      <c r="A17" s="672" t="s">
        <v>220</v>
      </c>
      <c r="B17" s="275" t="s">
        <v>313</v>
      </c>
      <c r="C17" s="594">
        <v>0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350">
        <v>0</v>
      </c>
      <c r="R17" s="350">
        <v>0</v>
      </c>
      <c r="S17" s="350">
        <v>0</v>
      </c>
      <c r="T17" s="350">
        <v>0</v>
      </c>
      <c r="U17" s="350">
        <v>0</v>
      </c>
      <c r="V17" s="350">
        <f>U17*(1+$AD17)</f>
        <v>0</v>
      </c>
      <c r="W17" s="350">
        <f>V17*(1+$AD17)</f>
        <v>0</v>
      </c>
      <c r="X17" s="350">
        <f>W17*(1+$AD17)</f>
        <v>0</v>
      </c>
      <c r="Y17" s="350">
        <f>X17*(1+$AD17)</f>
        <v>0</v>
      </c>
      <c r="Z17" s="350">
        <f>Y17*(1+$AD17)</f>
        <v>0</v>
      </c>
      <c r="AA17" s="350">
        <f t="shared" ref="AA17:AB17" si="11">Z17*(1+$AD17)</f>
        <v>0</v>
      </c>
      <c r="AB17" s="350">
        <f t="shared" si="11"/>
        <v>0</v>
      </c>
      <c r="AC17" s="247" t="str">
        <f t="shared" si="2"/>
        <v/>
      </c>
      <c r="AD17" s="392">
        <v>0</v>
      </c>
      <c r="AF17" s="342"/>
    </row>
    <row r="18" spans="1:34">
      <c r="B18" s="343" t="s">
        <v>314</v>
      </c>
      <c r="C18" s="594">
        <v>0</v>
      </c>
      <c r="D18" s="594">
        <v>0</v>
      </c>
      <c r="E18" s="594">
        <v>0</v>
      </c>
      <c r="F18" s="594">
        <v>0</v>
      </c>
      <c r="G18" s="956">
        <v>4575</v>
      </c>
      <c r="H18" s="956">
        <v>30778</v>
      </c>
      <c r="I18" s="956">
        <v>41477</v>
      </c>
      <c r="J18" s="956">
        <v>6681</v>
      </c>
      <c r="K18" s="956">
        <v>35187</v>
      </c>
      <c r="L18" s="956">
        <v>32357</v>
      </c>
      <c r="M18" s="956">
        <v>25610</v>
      </c>
      <c r="N18" s="956">
        <v>30056</v>
      </c>
      <c r="O18" s="956">
        <v>30097</v>
      </c>
      <c r="P18" s="956">
        <v>35860</v>
      </c>
      <c r="Q18" s="956">
        <v>35860</v>
      </c>
      <c r="R18" s="956">
        <v>23162</v>
      </c>
      <c r="S18" s="956">
        <v>23439</v>
      </c>
      <c r="T18" s="956">
        <v>28246</v>
      </c>
      <c r="U18" s="956">
        <v>23650</v>
      </c>
      <c r="V18" s="350">
        <v>22214</v>
      </c>
      <c r="W18" s="350">
        <v>9180</v>
      </c>
      <c r="X18" s="350">
        <v>8905</v>
      </c>
      <c r="Y18" s="350">
        <f t="shared" ref="Y18:Z21" si="12">X18*(1+$AD18)</f>
        <v>8637.85</v>
      </c>
      <c r="Z18" s="350">
        <f t="shared" si="12"/>
        <v>8378.7145</v>
      </c>
      <c r="AA18" s="350">
        <f t="shared" ref="AA18:AB18" si="13">Z18*(1+$AD18)</f>
        <v>8127.3530650000002</v>
      </c>
      <c r="AB18" s="350">
        <f t="shared" si="13"/>
        <v>7883.5324730499997</v>
      </c>
      <c r="AC18" s="247">
        <f t="shared" si="2"/>
        <v>-3.2694615356864638E-2</v>
      </c>
      <c r="AD18" s="392">
        <v>-0.03</v>
      </c>
      <c r="AF18" s="342"/>
      <c r="AG18" s="342"/>
      <c r="AH18" s="344"/>
    </row>
    <row r="19" spans="1:34">
      <c r="B19" s="343" t="s">
        <v>315</v>
      </c>
      <c r="C19" s="594">
        <v>0</v>
      </c>
      <c r="D19" s="594">
        <v>0</v>
      </c>
      <c r="E19" s="594">
        <v>0</v>
      </c>
      <c r="F19" s="594">
        <v>0</v>
      </c>
      <c r="G19" s="956">
        <v>24353</v>
      </c>
      <c r="H19" s="956">
        <v>21882</v>
      </c>
      <c r="I19" s="956">
        <v>23845</v>
      </c>
      <c r="J19" s="956">
        <v>24440</v>
      </c>
      <c r="K19" s="956">
        <v>25415</v>
      </c>
      <c r="L19" s="956">
        <v>26309</v>
      </c>
      <c r="M19" s="956">
        <v>28843</v>
      </c>
      <c r="N19" s="956">
        <v>29510</v>
      </c>
      <c r="O19" s="956">
        <v>30633</v>
      </c>
      <c r="P19" s="956">
        <v>32279</v>
      </c>
      <c r="Q19" s="956">
        <v>32194</v>
      </c>
      <c r="R19" s="956">
        <v>35046</v>
      </c>
      <c r="S19" s="956">
        <v>32307</v>
      </c>
      <c r="T19" s="956">
        <v>33433</v>
      </c>
      <c r="U19" s="956">
        <v>33362</v>
      </c>
      <c r="V19" s="350">
        <v>30407</v>
      </c>
      <c r="W19" s="350">
        <v>50094</v>
      </c>
      <c r="X19" s="350">
        <v>54542</v>
      </c>
      <c r="Y19" s="350">
        <f t="shared" si="12"/>
        <v>57269.100000000006</v>
      </c>
      <c r="Z19" s="350">
        <f t="shared" si="12"/>
        <v>60132.555000000008</v>
      </c>
      <c r="AA19" s="350">
        <f t="shared" ref="AA19:AB19" si="14">Z19*(1+$AD19)</f>
        <v>63139.182750000007</v>
      </c>
      <c r="AB19" s="350">
        <f t="shared" si="14"/>
        <v>66296.141887500009</v>
      </c>
      <c r="AC19" s="247">
        <f t="shared" si="2"/>
        <v>4.9530748080881259E-2</v>
      </c>
      <c r="AD19" s="392">
        <v>0.05</v>
      </c>
      <c r="AF19" s="342"/>
      <c r="AG19" s="342"/>
      <c r="AH19" s="344"/>
    </row>
    <row r="20" spans="1:34">
      <c r="B20" s="343" t="s">
        <v>316</v>
      </c>
      <c r="C20" s="594">
        <v>0</v>
      </c>
      <c r="D20" s="594">
        <v>0</v>
      </c>
      <c r="E20" s="594">
        <v>0</v>
      </c>
      <c r="F20" s="594">
        <v>0</v>
      </c>
      <c r="G20" s="956">
        <v>22264</v>
      </c>
      <c r="H20" s="956">
        <v>20721</v>
      </c>
      <c r="I20" s="956">
        <v>21462</v>
      </c>
      <c r="J20" s="956">
        <v>21469</v>
      </c>
      <c r="K20" s="956">
        <v>21894</v>
      </c>
      <c r="L20" s="956">
        <v>24062</v>
      </c>
      <c r="M20" s="956">
        <v>24062</v>
      </c>
      <c r="N20" s="956">
        <v>29842</v>
      </c>
      <c r="O20" s="956">
        <v>29814</v>
      </c>
      <c r="P20" s="956">
        <v>29814</v>
      </c>
      <c r="Q20" s="956">
        <v>31048</v>
      </c>
      <c r="R20" s="956">
        <v>31856</v>
      </c>
      <c r="S20" s="956">
        <v>35714</v>
      </c>
      <c r="T20" s="956">
        <v>51669</v>
      </c>
      <c r="U20" s="956">
        <v>59201</v>
      </c>
      <c r="V20" s="350">
        <v>60685</v>
      </c>
      <c r="W20" s="350">
        <v>60685</v>
      </c>
      <c r="X20" s="350">
        <v>60685</v>
      </c>
      <c r="Y20" s="350">
        <f t="shared" si="12"/>
        <v>63719.25</v>
      </c>
      <c r="Z20" s="350">
        <f t="shared" si="12"/>
        <v>66905.212500000009</v>
      </c>
      <c r="AA20" s="350">
        <f t="shared" ref="AA20:AB20" si="15">Z20*(1+$AD20)</f>
        <v>70250.473125000019</v>
      </c>
      <c r="AB20" s="350">
        <f t="shared" si="15"/>
        <v>73762.996781250025</v>
      </c>
      <c r="AC20" s="247">
        <f t="shared" si="2"/>
        <v>5.111478005318934E-2</v>
      </c>
      <c r="AD20" s="392">
        <v>0.05</v>
      </c>
      <c r="AF20" s="342"/>
      <c r="AG20" s="342"/>
      <c r="AH20" s="344"/>
    </row>
    <row r="21" spans="1:34">
      <c r="B21" s="343" t="s">
        <v>317</v>
      </c>
      <c r="C21" s="594">
        <v>0</v>
      </c>
      <c r="D21" s="594">
        <v>0</v>
      </c>
      <c r="E21" s="594">
        <v>0</v>
      </c>
      <c r="F21" s="594">
        <v>0</v>
      </c>
      <c r="G21" s="956">
        <v>5539</v>
      </c>
      <c r="H21" s="956">
        <v>5537</v>
      </c>
      <c r="I21" s="956">
        <v>5622</v>
      </c>
      <c r="J21" s="956">
        <v>5586</v>
      </c>
      <c r="K21" s="956">
        <v>5609</v>
      </c>
      <c r="L21" s="956">
        <v>7571</v>
      </c>
      <c r="M21" s="956">
        <v>7662</v>
      </c>
      <c r="N21" s="956">
        <v>7589</v>
      </c>
      <c r="O21" s="956">
        <v>8167</v>
      </c>
      <c r="P21" s="956">
        <v>8404</v>
      </c>
      <c r="Q21" s="956">
        <v>8846</v>
      </c>
      <c r="R21" s="956">
        <v>11226</v>
      </c>
      <c r="S21" s="956">
        <v>12440</v>
      </c>
      <c r="T21" s="956">
        <v>14937</v>
      </c>
      <c r="U21" s="956">
        <v>16493</v>
      </c>
      <c r="V21" s="350">
        <v>18799</v>
      </c>
      <c r="W21" s="350">
        <v>18825</v>
      </c>
      <c r="X21" s="350">
        <v>18958</v>
      </c>
      <c r="Y21" s="350">
        <f t="shared" si="12"/>
        <v>20285.060000000001</v>
      </c>
      <c r="Z21" s="350">
        <f t="shared" si="12"/>
        <v>21705.014200000001</v>
      </c>
      <c r="AA21" s="350">
        <f t="shared" ref="AA21:AB21" si="16">Z21*(1+$AD21)</f>
        <v>23224.365194000002</v>
      </c>
      <c r="AB21" s="350">
        <f t="shared" si="16"/>
        <v>24850.070757580004</v>
      </c>
      <c r="AC21" s="247">
        <f t="shared" si="2"/>
        <v>7.1552710167127137E-2</v>
      </c>
      <c r="AD21" s="392">
        <v>7.0000000000000007E-2</v>
      </c>
      <c r="AF21" s="342"/>
      <c r="AG21" s="342"/>
      <c r="AH21" s="344"/>
    </row>
    <row r="22" spans="1:34" s="245" customFormat="1">
      <c r="A22" s="673"/>
      <c r="B22" s="290" t="s">
        <v>318</v>
      </c>
      <c r="C22" s="792">
        <f t="shared" ref="C22" si="17">SUM(C7:C21)</f>
        <v>0</v>
      </c>
      <c r="D22" s="792">
        <f t="shared" ref="D22" si="18">SUM(D7:D21)</f>
        <v>0</v>
      </c>
      <c r="E22" s="792">
        <f t="shared" ref="E22" si="19">SUM(E7:E21)</f>
        <v>0</v>
      </c>
      <c r="F22" s="792">
        <f t="shared" ref="F22" si="20">SUM(F7:F21)</f>
        <v>0</v>
      </c>
      <c r="G22" s="792">
        <f t="shared" ref="G22:V22" si="21">SUM(G7:G21)</f>
        <v>6125530</v>
      </c>
      <c r="H22" s="792">
        <f t="shared" si="21"/>
        <v>5820988</v>
      </c>
      <c r="I22" s="792">
        <f t="shared" si="21"/>
        <v>4493659</v>
      </c>
      <c r="J22" s="792">
        <f t="shared" si="21"/>
        <v>4609239</v>
      </c>
      <c r="K22" s="792">
        <f t="shared" si="21"/>
        <v>4739554</v>
      </c>
      <c r="L22" s="792">
        <f t="shared" si="21"/>
        <v>4847144</v>
      </c>
      <c r="M22" s="792">
        <f t="shared" si="21"/>
        <v>4948593</v>
      </c>
      <c r="N22" s="792">
        <f t="shared" si="21"/>
        <v>5137265</v>
      </c>
      <c r="O22" s="792">
        <f t="shared" si="21"/>
        <v>5194023</v>
      </c>
      <c r="P22" s="792">
        <f t="shared" si="21"/>
        <v>5219288</v>
      </c>
      <c r="Q22" s="792">
        <f t="shared" si="21"/>
        <v>5279339</v>
      </c>
      <c r="R22" s="792">
        <f t="shared" si="21"/>
        <v>5424217</v>
      </c>
      <c r="S22" s="792">
        <f t="shared" si="21"/>
        <v>5480432</v>
      </c>
      <c r="T22" s="792">
        <f t="shared" si="21"/>
        <v>5578578</v>
      </c>
      <c r="U22" s="792">
        <f t="shared" si="21"/>
        <v>5756941</v>
      </c>
      <c r="V22" s="792">
        <f t="shared" si="21"/>
        <v>6008205</v>
      </c>
      <c r="W22" s="792">
        <f t="shared" ref="W22:X22" si="22">SUM(W7:W21)</f>
        <v>6188485</v>
      </c>
      <c r="X22" s="792">
        <f t="shared" si="22"/>
        <v>6474158</v>
      </c>
      <c r="Y22" s="792">
        <f t="shared" ref="Y22:Z22" si="23">SUM(Y7:Y21)</f>
        <v>6627304.8199999994</v>
      </c>
      <c r="Z22" s="792">
        <f t="shared" si="23"/>
        <v>6788791.6670399997</v>
      </c>
      <c r="AA22" s="792">
        <f t="shared" ref="AA22:AB22" si="24">SUM(AA7:AA21)</f>
        <v>6959235.7466445193</v>
      </c>
      <c r="AB22" s="792">
        <f t="shared" si="24"/>
        <v>7139302.7487361524</v>
      </c>
      <c r="AC22" s="247">
        <f t="shared" si="2"/>
        <v>1.8986102701248342E-2</v>
      </c>
      <c r="AD22" s="247" t="s">
        <v>319</v>
      </c>
      <c r="AE22" s="876"/>
    </row>
    <row r="23" spans="1:34">
      <c r="B23" s="822" t="s">
        <v>240</v>
      </c>
      <c r="C23" s="827"/>
      <c r="D23" s="827" t="str">
        <f t="shared" ref="D23:Z23" si="25">IFERROR((D22-C22)/C22,"")</f>
        <v/>
      </c>
      <c r="E23" s="827" t="str">
        <f t="shared" si="25"/>
        <v/>
      </c>
      <c r="F23" s="827" t="str">
        <f t="shared" si="25"/>
        <v/>
      </c>
      <c r="G23" s="827" t="str">
        <f t="shared" si="25"/>
        <v/>
      </c>
      <c r="H23" s="827">
        <f t="shared" si="25"/>
        <v>-4.9716840828467085E-2</v>
      </c>
      <c r="I23" s="827">
        <f t="shared" si="25"/>
        <v>-0.22802469271539472</v>
      </c>
      <c r="J23" s="827">
        <f t="shared" si="25"/>
        <v>2.5720687751340277E-2</v>
      </c>
      <c r="K23" s="827">
        <f t="shared" si="25"/>
        <v>2.8272562997926555E-2</v>
      </c>
      <c r="L23" s="827">
        <f t="shared" si="25"/>
        <v>2.2700448185630967E-2</v>
      </c>
      <c r="M23" s="827">
        <f t="shared" si="25"/>
        <v>2.0929644343143095E-2</v>
      </c>
      <c r="N23" s="827">
        <f t="shared" si="25"/>
        <v>3.8126392693842472E-2</v>
      </c>
      <c r="O23" s="827">
        <f t="shared" si="25"/>
        <v>1.1048291260038172E-2</v>
      </c>
      <c r="P23" s="827">
        <f t="shared" si="25"/>
        <v>4.8642449215184451E-3</v>
      </c>
      <c r="Q23" s="827">
        <f t="shared" si="25"/>
        <v>1.1505592333666968E-2</v>
      </c>
      <c r="R23" s="827">
        <f t="shared" si="25"/>
        <v>2.7442450655280899E-2</v>
      </c>
      <c r="S23" s="827">
        <f t="shared" si="25"/>
        <v>1.0363707794138767E-2</v>
      </c>
      <c r="T23" s="827">
        <f t="shared" si="25"/>
        <v>1.7908442254187262E-2</v>
      </c>
      <c r="U23" s="827">
        <f t="shared" si="25"/>
        <v>3.1972843258622541E-2</v>
      </c>
      <c r="V23" s="827">
        <f t="shared" si="25"/>
        <v>4.3645401264317284E-2</v>
      </c>
      <c r="W23" s="827">
        <f t="shared" si="25"/>
        <v>3.0005633962223326E-2</v>
      </c>
      <c r="X23" s="827">
        <f t="shared" si="25"/>
        <v>4.6162025116001738E-2</v>
      </c>
      <c r="Y23" s="827">
        <f t="shared" si="25"/>
        <v>2.3655094608441649E-2</v>
      </c>
      <c r="Z23" s="827">
        <f t="shared" si="25"/>
        <v>2.4366895959374385E-2</v>
      </c>
      <c r="AA23" s="827">
        <f t="shared" ref="AA23" si="26">IFERROR((AA22-Z22)/Z22,"")</f>
        <v>2.5106688784108076E-2</v>
      </c>
      <c r="AB23" s="827">
        <f t="shared" ref="AB23" si="27">IFERROR((AB22-AA22)/AA22,"")</f>
        <v>2.5874536895585793E-2</v>
      </c>
    </row>
    <row r="24" spans="1:34">
      <c r="B24" s="345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</row>
    <row r="25" spans="1:34"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</row>
    <row r="26" spans="1:34">
      <c r="A26" s="674" t="s">
        <v>226</v>
      </c>
      <c r="B26" s="559" t="s">
        <v>113</v>
      </c>
      <c r="C26" s="560"/>
      <c r="D26" s="560"/>
      <c r="E26" s="560"/>
      <c r="F26" s="560"/>
      <c r="G26" s="560">
        <v>1039158</v>
      </c>
      <c r="H26" s="560">
        <v>1039158</v>
      </c>
      <c r="I26" s="560">
        <v>891336</v>
      </c>
      <c r="J26" s="560">
        <v>891336</v>
      </c>
      <c r="K26" s="560">
        <v>891336</v>
      </c>
      <c r="L26" s="560">
        <v>891336</v>
      </c>
      <c r="M26" s="560">
        <v>891336</v>
      </c>
      <c r="N26" s="560">
        <v>891336</v>
      </c>
      <c r="O26" s="560">
        <v>891336</v>
      </c>
      <c r="P26" s="560">
        <v>891336</v>
      </c>
      <c r="Q26" s="560">
        <v>891336</v>
      </c>
      <c r="R26" s="560"/>
      <c r="S26" s="560"/>
      <c r="T26" s="677"/>
      <c r="U26" s="560"/>
      <c r="V26" s="18"/>
      <c r="W26" s="18"/>
      <c r="X26" s="18"/>
      <c r="Y26" s="18"/>
      <c r="Z26" s="18"/>
      <c r="AA26" s="18"/>
      <c r="AB26" s="18"/>
      <c r="AE26" s="206" t="s">
        <v>320</v>
      </c>
    </row>
    <row r="27" spans="1:34"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</row>
    <row r="28" spans="1:34" s="336" customFormat="1">
      <c r="A28" s="335"/>
      <c r="C28" s="362" t="s">
        <v>82</v>
      </c>
      <c r="D28" s="6" t="s">
        <v>83</v>
      </c>
      <c r="E28" s="6" t="s">
        <v>84</v>
      </c>
      <c r="F28" s="6" t="s">
        <v>85</v>
      </c>
      <c r="G28" s="6" t="s">
        <v>86</v>
      </c>
      <c r="H28" s="6" t="s">
        <v>87</v>
      </c>
      <c r="I28" s="267" t="s">
        <v>88</v>
      </c>
      <c r="J28" s="267" t="s">
        <v>89</v>
      </c>
      <c r="K28" s="267" t="s">
        <v>90</v>
      </c>
      <c r="L28" s="267" t="s">
        <v>91</v>
      </c>
      <c r="M28" s="267" t="s">
        <v>92</v>
      </c>
      <c r="N28" s="267" t="s">
        <v>93</v>
      </c>
      <c r="O28" s="267" t="s">
        <v>94</v>
      </c>
      <c r="P28" s="301" t="str">
        <f t="shared" ref="P28:V28" si="28">P3</f>
        <v>FY2019</v>
      </c>
      <c r="Q28" s="301" t="str">
        <f t="shared" si="28"/>
        <v>FY2020</v>
      </c>
      <c r="R28" s="301" t="str">
        <f t="shared" si="28"/>
        <v>FY2021</v>
      </c>
      <c r="S28" s="301" t="str">
        <f t="shared" si="28"/>
        <v>FY2022</v>
      </c>
      <c r="T28" s="301" t="str">
        <f t="shared" si="28"/>
        <v>FY2023</v>
      </c>
      <c r="U28" s="301" t="str">
        <f t="shared" si="28"/>
        <v>FY2024</v>
      </c>
      <c r="V28" s="301" t="str">
        <f t="shared" si="28"/>
        <v>FY2025</v>
      </c>
      <c r="W28" s="301" t="str">
        <f t="shared" ref="W28:X28" si="29">W3</f>
        <v>FY2026</v>
      </c>
      <c r="X28" s="301" t="str">
        <f t="shared" si="29"/>
        <v>FY2027</v>
      </c>
      <c r="Y28" s="301" t="str">
        <f t="shared" ref="Y28:Z28" si="30">Y3</f>
        <v>FY2028</v>
      </c>
      <c r="Z28" s="301" t="str">
        <f t="shared" si="30"/>
        <v>FY2029</v>
      </c>
      <c r="AA28" s="301" t="str">
        <f t="shared" ref="AA28:AB28" si="31">AA3</f>
        <v>FY2030</v>
      </c>
      <c r="AB28" s="301" t="str">
        <f t="shared" si="31"/>
        <v>FY2031</v>
      </c>
      <c r="AC28" s="651" t="s">
        <v>212</v>
      </c>
      <c r="AD28" s="652" t="s">
        <v>157</v>
      </c>
      <c r="AE28" s="874"/>
    </row>
    <row r="29" spans="1:34" s="332" customFormat="1">
      <c r="A29" s="337"/>
      <c r="B29" s="338"/>
      <c r="C29" s="301" t="str">
        <f t="shared" ref="C29:P29" si="32">+C4</f>
        <v>Final Est</v>
      </c>
      <c r="D29" s="301" t="str">
        <f t="shared" si="32"/>
        <v>Final Est</v>
      </c>
      <c r="E29" s="301" t="str">
        <f t="shared" si="32"/>
        <v>Final Est</v>
      </c>
      <c r="F29" s="301" t="str">
        <f t="shared" si="32"/>
        <v>Final Est</v>
      </c>
      <c r="G29" s="301" t="str">
        <f t="shared" si="32"/>
        <v>Final Est</v>
      </c>
      <c r="H29" s="301" t="str">
        <f t="shared" si="32"/>
        <v>Final Est</v>
      </c>
      <c r="I29" s="301" t="str">
        <f t="shared" si="32"/>
        <v>Final Est</v>
      </c>
      <c r="J29" s="301" t="str">
        <f t="shared" si="32"/>
        <v>Final Est</v>
      </c>
      <c r="K29" s="301" t="str">
        <f t="shared" si="32"/>
        <v>Final Est</v>
      </c>
      <c r="L29" s="301" t="str">
        <f t="shared" si="32"/>
        <v>Final Est</v>
      </c>
      <c r="M29" s="301" t="str">
        <f t="shared" si="32"/>
        <v>Final Est</v>
      </c>
      <c r="N29" s="301" t="str">
        <f t="shared" si="32"/>
        <v>Final Est</v>
      </c>
      <c r="O29" s="301" t="str">
        <f t="shared" si="32"/>
        <v>Final Est</v>
      </c>
      <c r="P29" s="301" t="str">
        <f t="shared" si="32"/>
        <v>Final Est</v>
      </c>
      <c r="Q29" s="301" t="str">
        <f>+Q4</f>
        <v>Final Est</v>
      </c>
      <c r="R29" s="301" t="str">
        <f t="shared" ref="R29:U29" si="33">+R4</f>
        <v>Final Est</v>
      </c>
      <c r="S29" s="301" t="str">
        <f t="shared" si="33"/>
        <v>Final Est</v>
      </c>
      <c r="T29" s="301" t="str">
        <f t="shared" si="33"/>
        <v>Final Est</v>
      </c>
      <c r="U29" s="301" t="str">
        <f t="shared" si="33"/>
        <v>Final Est</v>
      </c>
      <c r="V29" s="301" t="s">
        <v>295</v>
      </c>
      <c r="W29" s="301" t="str">
        <f t="shared" ref="W29" si="34">+W4</f>
        <v>Budget</v>
      </c>
      <c r="X29" s="301" t="str">
        <f t="shared" ref="X29:Y29" si="35">+X4</f>
        <v>Budget</v>
      </c>
      <c r="Y29" s="301" t="str">
        <f t="shared" si="35"/>
        <v>Projected</v>
      </c>
      <c r="Z29" s="301" t="str">
        <f t="shared" ref="Z29:AB29" si="36">+Z4</f>
        <v>Projected</v>
      </c>
      <c r="AA29" s="301" t="str">
        <f t="shared" si="36"/>
        <v>Projected</v>
      </c>
      <c r="AB29" s="301" t="str">
        <f t="shared" si="36"/>
        <v>Projected</v>
      </c>
      <c r="AC29" s="651" t="s">
        <v>213</v>
      </c>
      <c r="AD29" s="652" t="s">
        <v>160</v>
      </c>
      <c r="AE29" s="337"/>
    </row>
    <row r="30" spans="1:34">
      <c r="A30" s="671" t="s">
        <v>142</v>
      </c>
      <c r="B30" s="347" t="s">
        <v>321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</row>
    <row r="31" spans="1:34">
      <c r="B31" s="349" t="s">
        <v>322</v>
      </c>
      <c r="C31" s="594">
        <v>0</v>
      </c>
      <c r="D31" s="594">
        <v>0</v>
      </c>
      <c r="E31" s="594">
        <v>0</v>
      </c>
      <c r="F31" s="594">
        <v>0</v>
      </c>
      <c r="G31" s="961">
        <v>69852</v>
      </c>
      <c r="H31" s="961">
        <v>71598</v>
      </c>
      <c r="I31" s="961">
        <v>74043</v>
      </c>
      <c r="J31" s="961">
        <v>75894</v>
      </c>
      <c r="K31" s="961">
        <v>79707</v>
      </c>
      <c r="L31" s="961">
        <v>81700</v>
      </c>
      <c r="M31" s="961">
        <v>83557</v>
      </c>
      <c r="N31" s="961">
        <v>85646</v>
      </c>
      <c r="O31" s="961">
        <v>85021</v>
      </c>
      <c r="P31" s="961">
        <v>87146</v>
      </c>
      <c r="Q31" s="961">
        <v>93243</v>
      </c>
      <c r="R31" s="961">
        <v>95574</v>
      </c>
      <c r="S31" s="961">
        <v>96747</v>
      </c>
      <c r="T31" s="961">
        <v>99165</v>
      </c>
      <c r="U31" s="961">
        <v>100750</v>
      </c>
      <c r="V31" s="350">
        <v>103268</v>
      </c>
      <c r="W31" s="350">
        <v>103354</v>
      </c>
      <c r="X31" s="350">
        <v>106143</v>
      </c>
      <c r="Y31" s="350">
        <f t="shared" ref="W31:Z48" si="37">X31*(1+$AD31)</f>
        <v>108265.86</v>
      </c>
      <c r="Z31" s="350">
        <f t="shared" si="37"/>
        <v>110431.17720000001</v>
      </c>
      <c r="AA31" s="350">
        <f t="shared" ref="AA31:AB31" si="38">Z31*(1+$AD31)</f>
        <v>112639.80074400001</v>
      </c>
      <c r="AB31" s="350">
        <f t="shared" si="38"/>
        <v>114892.59675888001</v>
      </c>
      <c r="AC31" s="247">
        <f t="shared" ref="AC31:AC49" si="39">IFERROR(AVERAGE((M31-L31)/L31,(N31-M31)/M31,(O31-N31)/N31,(P31-O31)/O31,(Q31-P31)/P31,(R31-Q31)/Q31),"")</f>
        <v>2.6731497774480348E-2</v>
      </c>
      <c r="AD31" s="392">
        <v>0.02</v>
      </c>
    </row>
    <row r="32" spans="1:34" ht="12.6" customHeight="1">
      <c r="B32" s="349" t="s">
        <v>323</v>
      </c>
      <c r="C32" s="594">
        <v>0</v>
      </c>
      <c r="D32" s="594">
        <v>0</v>
      </c>
      <c r="E32" s="594">
        <v>0</v>
      </c>
      <c r="F32" s="594">
        <v>0</v>
      </c>
      <c r="G32" s="962">
        <v>0</v>
      </c>
      <c r="H32" s="962">
        <v>0</v>
      </c>
      <c r="I32" s="962">
        <v>0</v>
      </c>
      <c r="J32" s="962">
        <v>0</v>
      </c>
      <c r="K32" s="962">
        <v>0</v>
      </c>
      <c r="L32" s="962">
        <v>0</v>
      </c>
      <c r="M32" s="962">
        <v>0</v>
      </c>
      <c r="N32" s="962">
        <v>0</v>
      </c>
      <c r="O32" s="962">
        <v>0</v>
      </c>
      <c r="P32" s="962">
        <v>0</v>
      </c>
      <c r="Q32" s="962">
        <v>0</v>
      </c>
      <c r="R32" s="962">
        <v>0</v>
      </c>
      <c r="S32" s="962">
        <v>0</v>
      </c>
      <c r="T32" s="962">
        <v>0</v>
      </c>
      <c r="U32" s="962">
        <v>0</v>
      </c>
      <c r="V32" s="350">
        <f>U32*(1+$AD32)</f>
        <v>0</v>
      </c>
      <c r="W32" s="350">
        <f t="shared" si="37"/>
        <v>0</v>
      </c>
      <c r="X32" s="350">
        <f t="shared" si="37"/>
        <v>0</v>
      </c>
      <c r="Y32" s="350">
        <f t="shared" si="37"/>
        <v>0</v>
      </c>
      <c r="Z32" s="350">
        <f t="shared" si="37"/>
        <v>0</v>
      </c>
      <c r="AA32" s="350">
        <f t="shared" ref="AA32:AB32" si="40">Z32*(1+$AD32)</f>
        <v>0</v>
      </c>
      <c r="AB32" s="350">
        <f t="shared" si="40"/>
        <v>0</v>
      </c>
      <c r="AC32" s="247" t="str">
        <f t="shared" si="39"/>
        <v/>
      </c>
      <c r="AD32" s="392">
        <v>0</v>
      </c>
    </row>
    <row r="33" spans="1:30" ht="12.75" thickBot="1">
      <c r="B33" s="480" t="s">
        <v>324</v>
      </c>
      <c r="C33" s="596">
        <v>0</v>
      </c>
      <c r="D33" s="596">
        <v>0</v>
      </c>
      <c r="E33" s="596">
        <v>0</v>
      </c>
      <c r="F33" s="596">
        <v>0</v>
      </c>
      <c r="G33" s="963">
        <v>0</v>
      </c>
      <c r="H33" s="963">
        <v>0</v>
      </c>
      <c r="I33" s="963">
        <v>0</v>
      </c>
      <c r="J33" s="963">
        <v>0</v>
      </c>
      <c r="K33" s="963">
        <v>0</v>
      </c>
      <c r="L33" s="963">
        <v>0</v>
      </c>
      <c r="M33" s="963">
        <v>0</v>
      </c>
      <c r="N33" s="963">
        <v>0</v>
      </c>
      <c r="O33" s="963">
        <v>0</v>
      </c>
      <c r="P33" s="963">
        <v>0</v>
      </c>
      <c r="Q33" s="963">
        <v>0</v>
      </c>
      <c r="R33" s="963">
        <v>0</v>
      </c>
      <c r="S33" s="963">
        <v>0</v>
      </c>
      <c r="T33" s="963">
        <v>0</v>
      </c>
      <c r="U33" s="963">
        <v>0</v>
      </c>
      <c r="V33" s="350">
        <f>U33*(1+$AD33)</f>
        <v>0</v>
      </c>
      <c r="W33" s="481">
        <f t="shared" si="37"/>
        <v>0</v>
      </c>
      <c r="X33" s="481">
        <f t="shared" si="37"/>
        <v>0</v>
      </c>
      <c r="Y33" s="481">
        <f t="shared" si="37"/>
        <v>0</v>
      </c>
      <c r="Z33" s="481">
        <f t="shared" si="37"/>
        <v>0</v>
      </c>
      <c r="AA33" s="481">
        <f t="shared" ref="AA33:AB33" si="41">Z33*(1+$AD33)</f>
        <v>0</v>
      </c>
      <c r="AB33" s="481">
        <f t="shared" si="41"/>
        <v>0</v>
      </c>
      <c r="AC33" s="247" t="str">
        <f t="shared" si="39"/>
        <v/>
      </c>
      <c r="AD33" s="392">
        <v>0</v>
      </c>
    </row>
    <row r="34" spans="1:30">
      <c r="B34" s="479" t="s">
        <v>325</v>
      </c>
      <c r="C34" s="597">
        <v>0</v>
      </c>
      <c r="D34" s="597">
        <v>0</v>
      </c>
      <c r="E34" s="597">
        <v>0</v>
      </c>
      <c r="F34" s="597">
        <v>0</v>
      </c>
      <c r="G34" s="597">
        <v>0</v>
      </c>
      <c r="H34" s="597">
        <v>0</v>
      </c>
      <c r="I34" s="597">
        <v>0</v>
      </c>
      <c r="J34" s="597">
        <v>0</v>
      </c>
      <c r="K34" s="597">
        <v>0</v>
      </c>
      <c r="L34" s="597">
        <v>0</v>
      </c>
      <c r="M34" s="597">
        <v>0</v>
      </c>
      <c r="N34" s="597">
        <v>0</v>
      </c>
      <c r="O34" s="597">
        <v>0</v>
      </c>
      <c r="P34" s="597">
        <v>0</v>
      </c>
      <c r="Q34" s="597">
        <v>0</v>
      </c>
      <c r="R34" s="597">
        <v>0</v>
      </c>
      <c r="S34" s="597">
        <v>0</v>
      </c>
      <c r="T34" s="597">
        <v>0</v>
      </c>
      <c r="U34" s="597">
        <v>0</v>
      </c>
      <c r="V34" s="350">
        <f>U34*(1+$AD34)</f>
        <v>0</v>
      </c>
      <c r="W34" s="598">
        <f t="shared" si="37"/>
        <v>0</v>
      </c>
      <c r="X34" s="598">
        <f t="shared" si="37"/>
        <v>0</v>
      </c>
      <c r="Y34" s="598">
        <f t="shared" si="37"/>
        <v>0</v>
      </c>
      <c r="Z34" s="598">
        <f t="shared" si="37"/>
        <v>0</v>
      </c>
      <c r="AA34" s="598">
        <f t="shared" ref="AA34:AB34" si="42">Z34*(1+$AD34)</f>
        <v>0</v>
      </c>
      <c r="AB34" s="598">
        <f t="shared" si="42"/>
        <v>0</v>
      </c>
      <c r="AC34" s="247" t="str">
        <f t="shared" si="39"/>
        <v/>
      </c>
      <c r="AD34" s="392">
        <v>0</v>
      </c>
    </row>
    <row r="35" spans="1:30">
      <c r="B35" s="349" t="s">
        <v>326</v>
      </c>
      <c r="C35" s="594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0</v>
      </c>
      <c r="N35" s="594">
        <v>0</v>
      </c>
      <c r="O35" s="594">
        <v>0</v>
      </c>
      <c r="P35" s="594">
        <v>0</v>
      </c>
      <c r="Q35" s="594">
        <v>0</v>
      </c>
      <c r="R35" s="594">
        <v>0</v>
      </c>
      <c r="S35" s="594">
        <v>0</v>
      </c>
      <c r="T35" s="594">
        <v>0</v>
      </c>
      <c r="U35" s="594">
        <v>0</v>
      </c>
      <c r="V35" s="350">
        <f>U35*(1+$AD35)</f>
        <v>0</v>
      </c>
      <c r="W35" s="350">
        <f t="shared" si="37"/>
        <v>0</v>
      </c>
      <c r="X35" s="350">
        <f t="shared" si="37"/>
        <v>0</v>
      </c>
      <c r="Y35" s="350">
        <f t="shared" si="37"/>
        <v>0</v>
      </c>
      <c r="Z35" s="350">
        <f t="shared" si="37"/>
        <v>0</v>
      </c>
      <c r="AA35" s="350">
        <f t="shared" ref="AA35:AB35" si="43">Z35*(1+$AD35)</f>
        <v>0</v>
      </c>
      <c r="AB35" s="350">
        <f t="shared" si="43"/>
        <v>0</v>
      </c>
      <c r="AC35" s="247" t="str">
        <f t="shared" si="39"/>
        <v/>
      </c>
      <c r="AD35" s="392">
        <v>0</v>
      </c>
    </row>
    <row r="36" spans="1:30">
      <c r="B36" s="349" t="s">
        <v>327</v>
      </c>
      <c r="C36" s="594">
        <v>0</v>
      </c>
      <c r="D36" s="594">
        <v>0</v>
      </c>
      <c r="E36" s="594">
        <v>0</v>
      </c>
      <c r="F36" s="594">
        <v>0</v>
      </c>
      <c r="G36" s="961">
        <v>17465</v>
      </c>
      <c r="H36" s="961">
        <v>17381</v>
      </c>
      <c r="I36" s="961">
        <v>25965</v>
      </c>
      <c r="J36" s="961">
        <v>27269</v>
      </c>
      <c r="K36" s="961">
        <v>28945</v>
      </c>
      <c r="L36" s="961">
        <v>29765</v>
      </c>
      <c r="M36" s="961">
        <v>29880</v>
      </c>
      <c r="N36" s="961">
        <v>31401</v>
      </c>
      <c r="O36" s="961">
        <v>31778</v>
      </c>
      <c r="P36" s="961">
        <v>33059</v>
      </c>
      <c r="Q36" s="961">
        <v>34958</v>
      </c>
      <c r="R36" s="961">
        <v>37445</v>
      </c>
      <c r="S36" s="961">
        <v>38232</v>
      </c>
      <c r="T36" s="961">
        <v>38243</v>
      </c>
      <c r="U36" s="961">
        <v>38940</v>
      </c>
      <c r="V36" s="350">
        <v>39817</v>
      </c>
      <c r="W36" s="350">
        <v>40432</v>
      </c>
      <c r="X36" s="350">
        <v>41595</v>
      </c>
      <c r="Y36" s="350">
        <f t="shared" si="37"/>
        <v>43258.8</v>
      </c>
      <c r="Z36" s="350">
        <f t="shared" si="37"/>
        <v>44989.152000000002</v>
      </c>
      <c r="AA36" s="350">
        <f t="shared" ref="AA36:AB36" si="44">Z36*(1+$AD36)</f>
        <v>46788.718080000006</v>
      </c>
      <c r="AB36" s="350">
        <f t="shared" si="44"/>
        <v>48660.266803200007</v>
      </c>
      <c r="AC36" s="247">
        <f t="shared" si="39"/>
        <v>3.9278229061487487E-2</v>
      </c>
      <c r="AD36" s="392">
        <v>0.04</v>
      </c>
    </row>
    <row r="37" spans="1:30">
      <c r="B37" s="349" t="s">
        <v>328</v>
      </c>
      <c r="C37" s="594">
        <v>0</v>
      </c>
      <c r="D37" s="594">
        <v>0</v>
      </c>
      <c r="E37" s="594">
        <v>0</v>
      </c>
      <c r="F37" s="594">
        <v>0</v>
      </c>
      <c r="G37" s="961">
        <v>1747</v>
      </c>
      <c r="H37" s="961">
        <v>1788</v>
      </c>
      <c r="I37" s="961">
        <v>1800</v>
      </c>
      <c r="J37" s="961">
        <v>1839</v>
      </c>
      <c r="K37" s="961">
        <v>1877</v>
      </c>
      <c r="L37" s="961">
        <v>1876</v>
      </c>
      <c r="M37" s="961">
        <v>1864</v>
      </c>
      <c r="N37" s="961">
        <v>1910</v>
      </c>
      <c r="O37" s="961">
        <v>1875</v>
      </c>
      <c r="P37" s="961">
        <v>1928</v>
      </c>
      <c r="Q37" s="961">
        <v>1984</v>
      </c>
      <c r="R37" s="961">
        <v>2041</v>
      </c>
      <c r="S37" s="961">
        <v>2077</v>
      </c>
      <c r="T37" s="961">
        <v>2088</v>
      </c>
      <c r="U37" s="961">
        <v>2156</v>
      </c>
      <c r="V37" s="350">
        <v>2213</v>
      </c>
      <c r="W37" s="350">
        <v>2267</v>
      </c>
      <c r="X37" s="350">
        <v>2146</v>
      </c>
      <c r="Y37" s="350">
        <f t="shared" si="37"/>
        <v>2188.92</v>
      </c>
      <c r="Z37" s="350">
        <f t="shared" si="37"/>
        <v>2232.6984000000002</v>
      </c>
      <c r="AA37" s="350">
        <f t="shared" ref="AA37:AB37" si="45">Z37*(1+$AD37)</f>
        <v>2277.3523680000003</v>
      </c>
      <c r="AB37" s="350">
        <f t="shared" si="45"/>
        <v>2322.8994153600001</v>
      </c>
      <c r="AC37" s="247">
        <f t="shared" si="39"/>
        <v>1.433317738364504E-2</v>
      </c>
      <c r="AD37" s="392">
        <v>0.02</v>
      </c>
    </row>
    <row r="38" spans="1:30">
      <c r="B38" s="349" t="s">
        <v>329</v>
      </c>
      <c r="C38" s="594">
        <v>0</v>
      </c>
      <c r="D38" s="594">
        <v>0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0</v>
      </c>
      <c r="L38" s="594">
        <v>0</v>
      </c>
      <c r="M38" s="594">
        <v>0</v>
      </c>
      <c r="N38" s="594">
        <v>0</v>
      </c>
      <c r="O38" s="594">
        <v>0</v>
      </c>
      <c r="P38" s="594">
        <v>0</v>
      </c>
      <c r="Q38" s="594">
        <v>0</v>
      </c>
      <c r="R38" s="594">
        <v>0</v>
      </c>
      <c r="S38" s="594">
        <v>0</v>
      </c>
      <c r="T38" s="594">
        <v>0</v>
      </c>
      <c r="U38" s="594">
        <v>0</v>
      </c>
      <c r="V38" s="350">
        <f>U38*(1+$AD38)</f>
        <v>0</v>
      </c>
      <c r="W38" s="350">
        <f t="shared" si="37"/>
        <v>0</v>
      </c>
      <c r="X38" s="350">
        <f t="shared" si="37"/>
        <v>0</v>
      </c>
      <c r="Y38" s="350">
        <f t="shared" si="37"/>
        <v>0</v>
      </c>
      <c r="Z38" s="350">
        <f t="shared" si="37"/>
        <v>0</v>
      </c>
      <c r="AA38" s="350">
        <f t="shared" ref="AA38:AB38" si="46">Z38*(1+$AD38)</f>
        <v>0</v>
      </c>
      <c r="AB38" s="350">
        <f t="shared" si="46"/>
        <v>0</v>
      </c>
      <c r="AC38" s="247" t="str">
        <f t="shared" si="39"/>
        <v/>
      </c>
      <c r="AD38" s="392">
        <v>0</v>
      </c>
    </row>
    <row r="39" spans="1:30">
      <c r="B39" s="349" t="s">
        <v>330</v>
      </c>
      <c r="C39" s="594">
        <v>0</v>
      </c>
      <c r="D39" s="594">
        <v>0</v>
      </c>
      <c r="E39" s="594">
        <v>0</v>
      </c>
      <c r="F39" s="594">
        <v>0</v>
      </c>
      <c r="G39" s="594">
        <v>0</v>
      </c>
      <c r="H39" s="594">
        <v>0</v>
      </c>
      <c r="I39" s="594">
        <v>0</v>
      </c>
      <c r="J39" s="594">
        <v>0</v>
      </c>
      <c r="K39" s="594">
        <v>0</v>
      </c>
      <c r="L39" s="594">
        <v>0</v>
      </c>
      <c r="M39" s="594">
        <v>0</v>
      </c>
      <c r="N39" s="594">
        <v>0</v>
      </c>
      <c r="O39" s="594">
        <v>0</v>
      </c>
      <c r="P39" s="594">
        <v>0</v>
      </c>
      <c r="Q39" s="594">
        <v>0</v>
      </c>
      <c r="R39" s="594">
        <v>0</v>
      </c>
      <c r="S39" s="594">
        <v>0</v>
      </c>
      <c r="T39" s="594">
        <v>0</v>
      </c>
      <c r="U39" s="594">
        <v>0</v>
      </c>
      <c r="V39" s="350">
        <f>U39*(1+$AD39)</f>
        <v>0</v>
      </c>
      <c r="W39" s="350">
        <f t="shared" si="37"/>
        <v>0</v>
      </c>
      <c r="X39" s="350">
        <f t="shared" si="37"/>
        <v>0</v>
      </c>
      <c r="Y39" s="350">
        <f t="shared" si="37"/>
        <v>0</v>
      </c>
      <c r="Z39" s="350">
        <f t="shared" si="37"/>
        <v>0</v>
      </c>
      <c r="AA39" s="350">
        <f t="shared" ref="AA39:AB39" si="47">Z39*(1+$AD39)</f>
        <v>0</v>
      </c>
      <c r="AB39" s="350">
        <f t="shared" si="47"/>
        <v>0</v>
      </c>
      <c r="AC39" s="247" t="str">
        <f t="shared" si="39"/>
        <v/>
      </c>
      <c r="AD39" s="392">
        <v>0</v>
      </c>
    </row>
    <row r="40" spans="1:30" ht="12.75" thickBot="1">
      <c r="B40" s="480" t="s">
        <v>331</v>
      </c>
      <c r="C40" s="596">
        <v>0</v>
      </c>
      <c r="D40" s="596">
        <v>0</v>
      </c>
      <c r="E40" s="596">
        <v>0</v>
      </c>
      <c r="F40" s="596">
        <v>0</v>
      </c>
      <c r="G40" s="964">
        <v>3300</v>
      </c>
      <c r="H40" s="964">
        <v>4160</v>
      </c>
      <c r="I40" s="964">
        <v>5060</v>
      </c>
      <c r="J40" s="964">
        <v>6220</v>
      </c>
      <c r="K40" s="964">
        <v>6960</v>
      </c>
      <c r="L40" s="964">
        <v>7440</v>
      </c>
      <c r="M40" s="964">
        <v>7440</v>
      </c>
      <c r="N40" s="964">
        <v>7440</v>
      </c>
      <c r="O40" s="964">
        <v>6620</v>
      </c>
      <c r="P40" s="964">
        <v>6620</v>
      </c>
      <c r="Q40" s="964">
        <v>6920</v>
      </c>
      <c r="R40" s="964">
        <v>7480</v>
      </c>
      <c r="S40" s="964">
        <v>7480</v>
      </c>
      <c r="T40" s="964">
        <v>6180</v>
      </c>
      <c r="U40" s="964">
        <v>6580</v>
      </c>
      <c r="V40" s="350">
        <v>7180</v>
      </c>
      <c r="W40" s="481">
        <v>7180</v>
      </c>
      <c r="X40" s="481">
        <v>6160</v>
      </c>
      <c r="Y40" s="481">
        <f t="shared" si="37"/>
        <v>6160</v>
      </c>
      <c r="Z40" s="481">
        <f t="shared" si="37"/>
        <v>6160</v>
      </c>
      <c r="AA40" s="481">
        <f t="shared" ref="AA40:AB40" si="48">Z40*(1+$AD40)</f>
        <v>6160</v>
      </c>
      <c r="AB40" s="481">
        <f t="shared" si="48"/>
        <v>6160</v>
      </c>
      <c r="AC40" s="247">
        <f t="shared" si="39"/>
        <v>2.6711703786158774E-3</v>
      </c>
      <c r="AD40" s="392">
        <v>0</v>
      </c>
    </row>
    <row r="41" spans="1:30">
      <c r="B41" s="479" t="s">
        <v>332</v>
      </c>
      <c r="C41" s="597">
        <v>0</v>
      </c>
      <c r="D41" s="597">
        <v>0</v>
      </c>
      <c r="E41" s="597">
        <v>0</v>
      </c>
      <c r="F41" s="597">
        <v>0</v>
      </c>
      <c r="G41" s="965">
        <v>35268</v>
      </c>
      <c r="H41" s="965">
        <v>35034</v>
      </c>
      <c r="I41" s="965">
        <v>19471</v>
      </c>
      <c r="J41" s="965">
        <v>15111</v>
      </c>
      <c r="K41" s="965">
        <v>9777</v>
      </c>
      <c r="L41" s="965">
        <v>9386</v>
      </c>
      <c r="M41" s="965">
        <v>8891</v>
      </c>
      <c r="N41" s="965">
        <v>8312</v>
      </c>
      <c r="O41" s="965">
        <v>7852</v>
      </c>
      <c r="P41" s="965">
        <v>8041</v>
      </c>
      <c r="Q41" s="965">
        <v>8242</v>
      </c>
      <c r="R41" s="965">
        <v>7847</v>
      </c>
      <c r="S41" s="965">
        <v>8678</v>
      </c>
      <c r="T41" s="965">
        <v>7143</v>
      </c>
      <c r="U41" s="965">
        <v>8427</v>
      </c>
      <c r="V41" s="350">
        <v>10464</v>
      </c>
      <c r="W41" s="598">
        <v>8704</v>
      </c>
      <c r="X41" s="598">
        <v>8089</v>
      </c>
      <c r="Y41" s="598">
        <f t="shared" si="37"/>
        <v>8089</v>
      </c>
      <c r="Z41" s="598">
        <f t="shared" si="37"/>
        <v>8089</v>
      </c>
      <c r="AA41" s="598">
        <f t="shared" ref="AA41:AB41" si="49">Z41*(1+$AD41)</f>
        <v>8089</v>
      </c>
      <c r="AB41" s="598">
        <f t="shared" si="49"/>
        <v>8089</v>
      </c>
      <c r="AC41" s="247">
        <f t="shared" si="39"/>
        <v>-2.8676649695680023E-2</v>
      </c>
      <c r="AD41" s="392">
        <v>0</v>
      </c>
    </row>
    <row r="42" spans="1:30">
      <c r="B42" s="349" t="s">
        <v>333</v>
      </c>
      <c r="C42" s="594">
        <v>0</v>
      </c>
      <c r="D42" s="594">
        <v>0</v>
      </c>
      <c r="E42" s="594">
        <v>0</v>
      </c>
      <c r="F42" s="594">
        <v>0</v>
      </c>
      <c r="G42" s="962">
        <v>0</v>
      </c>
      <c r="H42" s="962">
        <v>0</v>
      </c>
      <c r="I42" s="962">
        <v>0</v>
      </c>
      <c r="J42" s="962">
        <v>0</v>
      </c>
      <c r="K42" s="962">
        <v>0</v>
      </c>
      <c r="L42" s="962">
        <v>0</v>
      </c>
      <c r="M42" s="962">
        <v>0</v>
      </c>
      <c r="N42" s="962">
        <v>0</v>
      </c>
      <c r="O42" s="962">
        <v>0</v>
      </c>
      <c r="P42" s="962">
        <v>0</v>
      </c>
      <c r="Q42" s="962">
        <v>0</v>
      </c>
      <c r="R42" s="962">
        <v>0</v>
      </c>
      <c r="S42" s="962">
        <v>0</v>
      </c>
      <c r="T42" s="962">
        <v>0</v>
      </c>
      <c r="U42" s="962">
        <v>0</v>
      </c>
      <c r="V42" s="350">
        <f>U42*(1+$AD42)</f>
        <v>0</v>
      </c>
      <c r="W42" s="350">
        <f t="shared" si="37"/>
        <v>0</v>
      </c>
      <c r="X42" s="350">
        <f t="shared" si="37"/>
        <v>0</v>
      </c>
      <c r="Y42" s="350">
        <f t="shared" si="37"/>
        <v>0</v>
      </c>
      <c r="Z42" s="350">
        <f t="shared" si="37"/>
        <v>0</v>
      </c>
      <c r="AA42" s="350">
        <f t="shared" ref="AA42:AB42" si="50">Z42*(1+$AD42)</f>
        <v>0</v>
      </c>
      <c r="AB42" s="350">
        <f t="shared" si="50"/>
        <v>0</v>
      </c>
      <c r="AC42" s="247" t="str">
        <f t="shared" si="39"/>
        <v/>
      </c>
      <c r="AD42" s="392">
        <v>0</v>
      </c>
    </row>
    <row r="43" spans="1:30" ht="12.75" thickBot="1">
      <c r="B43" s="480" t="s">
        <v>334</v>
      </c>
      <c r="C43" s="596">
        <v>0</v>
      </c>
      <c r="D43" s="596">
        <v>0</v>
      </c>
      <c r="E43" s="596">
        <v>0</v>
      </c>
      <c r="F43" s="596">
        <v>0</v>
      </c>
      <c r="G43" s="964">
        <v>5707</v>
      </c>
      <c r="H43" s="964">
        <v>5850</v>
      </c>
      <c r="I43" s="964">
        <v>20996</v>
      </c>
      <c r="J43" s="964">
        <v>26521</v>
      </c>
      <c r="K43" s="964">
        <v>32184</v>
      </c>
      <c r="L43" s="964">
        <v>32989</v>
      </c>
      <c r="M43" s="964">
        <v>33814</v>
      </c>
      <c r="N43" s="964">
        <v>34659</v>
      </c>
      <c r="O43" s="964">
        <v>35526</v>
      </c>
      <c r="P43" s="964">
        <v>36414</v>
      </c>
      <c r="Q43" s="964">
        <v>37324</v>
      </c>
      <c r="R43" s="964">
        <v>38257</v>
      </c>
      <c r="S43" s="964">
        <v>38257</v>
      </c>
      <c r="T43" s="964">
        <v>40194</v>
      </c>
      <c r="U43" s="964">
        <v>40194</v>
      </c>
      <c r="V43" s="350">
        <v>42229</v>
      </c>
      <c r="W43" s="481">
        <f t="shared" si="37"/>
        <v>43284.724999999999</v>
      </c>
      <c r="X43" s="481">
        <v>52456</v>
      </c>
      <c r="Y43" s="481">
        <f t="shared" si="37"/>
        <v>53767.399999999994</v>
      </c>
      <c r="Z43" s="481">
        <f t="shared" si="37"/>
        <v>55111.584999999992</v>
      </c>
      <c r="AA43" s="481">
        <f t="shared" ref="AA43:AB43" si="51">Z43*(1+$AD43)</f>
        <v>56489.374624999989</v>
      </c>
      <c r="AB43" s="481">
        <f t="shared" si="51"/>
        <v>57901.608990624984</v>
      </c>
      <c r="AC43" s="247">
        <f t="shared" si="39"/>
        <v>2.4999436626941925E-2</v>
      </c>
      <c r="AD43" s="392">
        <v>2.5000000000000001E-2</v>
      </c>
    </row>
    <row r="44" spans="1:30">
      <c r="B44" s="479" t="s">
        <v>335</v>
      </c>
      <c r="C44" s="597">
        <v>0</v>
      </c>
      <c r="D44" s="597">
        <v>0</v>
      </c>
      <c r="E44" s="597">
        <v>0</v>
      </c>
      <c r="F44" s="597">
        <v>0</v>
      </c>
      <c r="G44" s="597">
        <v>0</v>
      </c>
      <c r="H44" s="597">
        <v>0</v>
      </c>
      <c r="I44" s="597">
        <v>0</v>
      </c>
      <c r="J44" s="597">
        <v>0</v>
      </c>
      <c r="K44" s="597">
        <v>0</v>
      </c>
      <c r="L44" s="597">
        <v>0</v>
      </c>
      <c r="M44" s="597">
        <v>0</v>
      </c>
      <c r="N44" s="597">
        <v>0</v>
      </c>
      <c r="O44" s="597">
        <v>0</v>
      </c>
      <c r="P44" s="597">
        <v>0</v>
      </c>
      <c r="Q44" s="597">
        <v>0</v>
      </c>
      <c r="R44" s="597">
        <v>0</v>
      </c>
      <c r="S44" s="597">
        <v>0</v>
      </c>
      <c r="T44" s="597">
        <v>0</v>
      </c>
      <c r="U44" s="597">
        <v>0</v>
      </c>
      <c r="V44" s="350">
        <f>U44*(1+$AD44)</f>
        <v>0</v>
      </c>
      <c r="W44" s="598">
        <f t="shared" si="37"/>
        <v>0</v>
      </c>
      <c r="X44" s="598">
        <f t="shared" si="37"/>
        <v>0</v>
      </c>
      <c r="Y44" s="598">
        <f t="shared" si="37"/>
        <v>0</v>
      </c>
      <c r="Z44" s="598">
        <f t="shared" si="37"/>
        <v>0</v>
      </c>
      <c r="AA44" s="598">
        <f t="shared" ref="AA44:AB44" si="52">Z44*(1+$AD44)</f>
        <v>0</v>
      </c>
      <c r="AB44" s="598">
        <f t="shared" si="52"/>
        <v>0</v>
      </c>
      <c r="AC44" s="247" t="str">
        <f t="shared" si="39"/>
        <v/>
      </c>
      <c r="AD44" s="392">
        <v>0</v>
      </c>
    </row>
    <row r="45" spans="1:30">
      <c r="B45" s="349" t="s">
        <v>336</v>
      </c>
      <c r="C45" s="594">
        <v>0</v>
      </c>
      <c r="D45" s="594">
        <v>0</v>
      </c>
      <c r="E45" s="594">
        <v>0</v>
      </c>
      <c r="F45" s="594">
        <v>0</v>
      </c>
      <c r="G45" s="594">
        <v>665</v>
      </c>
      <c r="H45" s="594">
        <v>376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  <c r="S45" s="594">
        <v>0</v>
      </c>
      <c r="T45" s="594">
        <v>0</v>
      </c>
      <c r="U45" s="594">
        <v>0</v>
      </c>
      <c r="V45" s="350">
        <f>U45*(1+$AD45)</f>
        <v>0</v>
      </c>
      <c r="W45" s="350">
        <f t="shared" si="37"/>
        <v>0</v>
      </c>
      <c r="X45" s="350">
        <f t="shared" si="37"/>
        <v>0</v>
      </c>
      <c r="Y45" s="350">
        <f t="shared" si="37"/>
        <v>0</v>
      </c>
      <c r="Z45" s="350">
        <f t="shared" si="37"/>
        <v>0</v>
      </c>
      <c r="AA45" s="350">
        <f t="shared" ref="AA45:AB45" si="53">Z45*(1+$AD45)</f>
        <v>0</v>
      </c>
      <c r="AB45" s="350">
        <f t="shared" si="53"/>
        <v>0</v>
      </c>
      <c r="AC45" s="247" t="str">
        <f t="shared" si="39"/>
        <v/>
      </c>
      <c r="AD45" s="392">
        <v>0</v>
      </c>
    </row>
    <row r="46" spans="1:30" ht="12.75" thickBot="1">
      <c r="A46" s="671" t="s">
        <v>206</v>
      </c>
      <c r="B46" s="480" t="s">
        <v>337</v>
      </c>
      <c r="C46" s="596">
        <v>0</v>
      </c>
      <c r="D46" s="596">
        <v>0</v>
      </c>
      <c r="E46" s="596">
        <v>0</v>
      </c>
      <c r="F46" s="596">
        <v>0</v>
      </c>
      <c r="G46" s="596">
        <v>0</v>
      </c>
      <c r="H46" s="596">
        <v>0</v>
      </c>
      <c r="I46" s="596">
        <v>0</v>
      </c>
      <c r="J46" s="596">
        <v>0</v>
      </c>
      <c r="K46" s="596">
        <v>0</v>
      </c>
      <c r="L46" s="596">
        <v>0</v>
      </c>
      <c r="M46" s="596">
        <v>0</v>
      </c>
      <c r="N46" s="596">
        <v>0</v>
      </c>
      <c r="O46" s="596">
        <v>0</v>
      </c>
      <c r="P46" s="596">
        <v>0</v>
      </c>
      <c r="Q46" s="596">
        <v>0</v>
      </c>
      <c r="R46" s="596">
        <v>0</v>
      </c>
      <c r="S46" s="596">
        <v>0</v>
      </c>
      <c r="T46" s="596">
        <v>0</v>
      </c>
      <c r="U46" s="596">
        <v>0</v>
      </c>
      <c r="V46" s="350">
        <f>U46*(1+$AD46)</f>
        <v>0</v>
      </c>
      <c r="W46" s="481">
        <f t="shared" si="37"/>
        <v>0</v>
      </c>
      <c r="X46" s="481">
        <f t="shared" si="37"/>
        <v>0</v>
      </c>
      <c r="Y46" s="481">
        <f t="shared" si="37"/>
        <v>0</v>
      </c>
      <c r="Z46" s="481">
        <f t="shared" si="37"/>
        <v>0</v>
      </c>
      <c r="AA46" s="481">
        <f t="shared" ref="AA46:AB46" si="54">Z46*(1+$AD46)</f>
        <v>0</v>
      </c>
      <c r="AB46" s="481">
        <f t="shared" si="54"/>
        <v>0</v>
      </c>
      <c r="AC46" s="247" t="str">
        <f t="shared" si="39"/>
        <v/>
      </c>
      <c r="AD46" s="392">
        <v>0</v>
      </c>
    </row>
    <row r="47" spans="1:30">
      <c r="B47" s="351" t="s">
        <v>338</v>
      </c>
      <c r="C47" s="597">
        <v>0</v>
      </c>
      <c r="D47" s="597">
        <v>0</v>
      </c>
      <c r="E47" s="597">
        <v>0</v>
      </c>
      <c r="F47" s="597">
        <v>0</v>
      </c>
      <c r="G47" s="965">
        <v>87555</v>
      </c>
      <c r="H47" s="965">
        <v>101951</v>
      </c>
      <c r="I47" s="965">
        <v>27856</v>
      </c>
      <c r="J47" s="965">
        <v>34880</v>
      </c>
      <c r="K47" s="965">
        <v>19250</v>
      </c>
      <c r="L47" s="965">
        <v>17650</v>
      </c>
      <c r="M47" s="965">
        <v>10000</v>
      </c>
      <c r="N47" s="965">
        <v>9250</v>
      </c>
      <c r="O47" s="965">
        <v>28541</v>
      </c>
      <c r="P47" s="965">
        <v>35650</v>
      </c>
      <c r="Q47" s="965">
        <v>55765</v>
      </c>
      <c r="R47" s="965">
        <v>56580</v>
      </c>
      <c r="S47" s="965">
        <v>57613</v>
      </c>
      <c r="T47" s="965">
        <v>57634</v>
      </c>
      <c r="U47" s="965">
        <v>59117</v>
      </c>
      <c r="V47" s="350">
        <v>86957</v>
      </c>
      <c r="W47" s="598">
        <v>55370</v>
      </c>
      <c r="X47" s="598">
        <v>50594</v>
      </c>
      <c r="Y47" s="598">
        <f t="shared" si="37"/>
        <v>60712.799999999996</v>
      </c>
      <c r="Z47" s="598">
        <f t="shared" si="37"/>
        <v>72855.359999999986</v>
      </c>
      <c r="AA47" s="598">
        <f t="shared" ref="AA47:AB47" si="55">Z47*(1+$AD47)</f>
        <v>87426.431999999986</v>
      </c>
      <c r="AB47" s="598">
        <f t="shared" si="55"/>
        <v>104911.71839999998</v>
      </c>
      <c r="AC47" s="247">
        <f t="shared" si="39"/>
        <v>0.40083609131758063</v>
      </c>
      <c r="AD47" s="392">
        <v>0.2</v>
      </c>
    </row>
    <row r="48" spans="1:30" ht="12.75" thickBot="1">
      <c r="A48" s="671" t="s">
        <v>206</v>
      </c>
      <c r="B48" s="480" t="s">
        <v>339</v>
      </c>
      <c r="C48" s="596">
        <v>0</v>
      </c>
      <c r="D48" s="596">
        <v>0</v>
      </c>
      <c r="E48" s="596">
        <v>0</v>
      </c>
      <c r="F48" s="596">
        <v>0</v>
      </c>
      <c r="G48" s="963">
        <v>0</v>
      </c>
      <c r="H48" s="963">
        <v>0</v>
      </c>
      <c r="I48" s="963">
        <v>0</v>
      </c>
      <c r="J48" s="963">
        <v>0</v>
      </c>
      <c r="K48" s="963">
        <v>0</v>
      </c>
      <c r="L48" s="964">
        <v>11794</v>
      </c>
      <c r="M48" s="964">
        <v>25242</v>
      </c>
      <c r="N48" s="963">
        <v>0</v>
      </c>
      <c r="O48" s="963">
        <v>0</v>
      </c>
      <c r="P48" s="963">
        <v>0</v>
      </c>
      <c r="Q48" s="963">
        <v>0</v>
      </c>
      <c r="R48" s="964">
        <v>26122</v>
      </c>
      <c r="S48" s="964">
        <v>27194</v>
      </c>
      <c r="T48" s="964">
        <v>19529</v>
      </c>
      <c r="U48" s="963">
        <v>0</v>
      </c>
      <c r="V48" s="481">
        <f>U48*(1+$AD48)</f>
        <v>0</v>
      </c>
      <c r="W48" s="481">
        <f t="shared" si="37"/>
        <v>0</v>
      </c>
      <c r="X48" s="481">
        <f t="shared" si="37"/>
        <v>0</v>
      </c>
      <c r="Y48" s="481">
        <f t="shared" si="37"/>
        <v>0</v>
      </c>
      <c r="Z48" s="481">
        <f t="shared" si="37"/>
        <v>0</v>
      </c>
      <c r="AA48" s="481">
        <f t="shared" ref="AA48:AB48" si="56">Z48*(1+$AD48)</f>
        <v>0</v>
      </c>
      <c r="AB48" s="481">
        <f t="shared" si="56"/>
        <v>0</v>
      </c>
      <c r="AC48" s="247" t="str">
        <f t="shared" si="39"/>
        <v/>
      </c>
      <c r="AD48" s="392">
        <v>0</v>
      </c>
    </row>
    <row r="49" spans="1:32" s="245" customFormat="1">
      <c r="A49" s="673"/>
      <c r="B49" s="793" t="s">
        <v>340</v>
      </c>
      <c r="C49" s="794">
        <f t="shared" ref="C49:V49" si="57">SUM(C31:C48)</f>
        <v>0</v>
      </c>
      <c r="D49" s="794">
        <f t="shared" si="57"/>
        <v>0</v>
      </c>
      <c r="E49" s="794">
        <f t="shared" si="57"/>
        <v>0</v>
      </c>
      <c r="F49" s="794">
        <f t="shared" si="57"/>
        <v>0</v>
      </c>
      <c r="G49" s="955">
        <f t="shared" si="57"/>
        <v>221559</v>
      </c>
      <c r="H49" s="955">
        <f t="shared" si="57"/>
        <v>238138</v>
      </c>
      <c r="I49" s="955">
        <f t="shared" si="57"/>
        <v>175191</v>
      </c>
      <c r="J49" s="955">
        <f t="shared" si="57"/>
        <v>187734</v>
      </c>
      <c r="K49" s="955">
        <f t="shared" si="57"/>
        <v>178700</v>
      </c>
      <c r="L49" s="955">
        <f t="shared" si="57"/>
        <v>192600</v>
      </c>
      <c r="M49" s="955">
        <f t="shared" si="57"/>
        <v>200688</v>
      </c>
      <c r="N49" s="955">
        <f t="shared" si="57"/>
        <v>178618</v>
      </c>
      <c r="O49" s="955">
        <f t="shared" si="57"/>
        <v>197213</v>
      </c>
      <c r="P49" s="955">
        <f t="shared" si="57"/>
        <v>208858</v>
      </c>
      <c r="Q49" s="955">
        <f t="shared" si="57"/>
        <v>238436</v>
      </c>
      <c r="R49" s="955">
        <f t="shared" si="57"/>
        <v>271346</v>
      </c>
      <c r="S49" s="955">
        <f t="shared" si="57"/>
        <v>276278</v>
      </c>
      <c r="T49" s="955">
        <f t="shared" ref="T49:U49" si="58">SUM(T31:T48)</f>
        <v>270176</v>
      </c>
      <c r="U49" s="955">
        <f t="shared" si="58"/>
        <v>256164</v>
      </c>
      <c r="V49" s="794">
        <f t="shared" si="57"/>
        <v>292128</v>
      </c>
      <c r="W49" s="794">
        <f t="shared" ref="W49:X49" si="59">SUM(W31:W48)</f>
        <v>260591.72500000001</v>
      </c>
      <c r="X49" s="794">
        <f t="shared" si="59"/>
        <v>267183</v>
      </c>
      <c r="Y49" s="794">
        <f t="shared" ref="Y49:Z49" si="60">SUM(Y31:Y48)</f>
        <v>282442.78000000003</v>
      </c>
      <c r="Z49" s="794">
        <f t="shared" si="60"/>
        <v>299868.97259999998</v>
      </c>
      <c r="AA49" s="794">
        <f t="shared" ref="AA49:AB49" si="61">SUM(AA31:AA48)</f>
        <v>319870.67781700002</v>
      </c>
      <c r="AB49" s="794">
        <f t="shared" si="61"/>
        <v>342938.09036806499</v>
      </c>
      <c r="AC49" s="247">
        <f t="shared" si="39"/>
        <v>6.2469493724910764E-2</v>
      </c>
      <c r="AE49" s="876"/>
    </row>
    <row r="50" spans="1:32">
      <c r="B50" s="822" t="s">
        <v>240</v>
      </c>
      <c r="C50" s="827"/>
      <c r="D50" s="827" t="str">
        <f>IFERROR((D49-C49)/C49,"")</f>
        <v/>
      </c>
      <c r="E50" s="827" t="str">
        <f t="shared" ref="E50" si="62">IFERROR((E49-D49)/D49,"")</f>
        <v/>
      </c>
      <c r="F50" s="827" t="str">
        <f t="shared" ref="F50" si="63">IFERROR((F49-E49)/E49,"")</f>
        <v/>
      </c>
      <c r="G50" s="827" t="str">
        <f t="shared" ref="G50" si="64">IFERROR((G49-F49)/F49,"")</f>
        <v/>
      </c>
      <c r="H50" s="827">
        <f t="shared" ref="H50" si="65">IFERROR((H49-G49)/G49,"")</f>
        <v>7.4828826633086445E-2</v>
      </c>
      <c r="I50" s="827">
        <f t="shared" ref="I50" si="66">IFERROR((I49-H49)/H49,"")</f>
        <v>-0.26432992634522839</v>
      </c>
      <c r="J50" s="827">
        <f t="shared" ref="J50" si="67">IFERROR((J49-I49)/I49,"")</f>
        <v>7.1596143637515625E-2</v>
      </c>
      <c r="K50" s="827">
        <f t="shared" ref="K50" si="68">IFERROR((K49-J49)/J49,"")</f>
        <v>-4.8121277978416269E-2</v>
      </c>
      <c r="L50" s="827">
        <f t="shared" ref="L50" si="69">IFERROR((L49-K49)/K49,"")</f>
        <v>7.7783995523223279E-2</v>
      </c>
      <c r="M50" s="827">
        <f t="shared" ref="M50" si="70">IFERROR((M49-L49)/L49,"")</f>
        <v>4.1993769470404986E-2</v>
      </c>
      <c r="N50" s="827">
        <f t="shared" ref="N50" si="71">IFERROR((N49-M49)/M49,"")</f>
        <v>-0.1099716973610779</v>
      </c>
      <c r="O50" s="827">
        <f t="shared" ref="O50" si="72">IFERROR((O49-N49)/N49,"")</f>
        <v>0.10410484945526206</v>
      </c>
      <c r="P50" s="827">
        <f t="shared" ref="P50" si="73">IFERROR((P49-O49)/O49,"")</f>
        <v>5.9047831532404053E-2</v>
      </c>
      <c r="Q50" s="827">
        <f t="shared" ref="Q50" si="74">IFERROR((Q49-P49)/P49,"")</f>
        <v>0.14161774985875572</v>
      </c>
      <c r="R50" s="827">
        <f t="shared" ref="R50" si="75">IFERROR((R49-Q49)/Q49,"")</f>
        <v>0.13802445939371571</v>
      </c>
      <c r="S50" s="827">
        <f t="shared" ref="S50" si="76">IFERROR((S49-R49)/R49,"")</f>
        <v>1.8176055663249136E-2</v>
      </c>
      <c r="T50" s="827">
        <f t="shared" ref="T50" si="77">IFERROR((T49-S49)/S49,"")</f>
        <v>-2.2086449156284611E-2</v>
      </c>
      <c r="U50" s="827">
        <f t="shared" ref="U50:Z50" si="78">IFERROR((U49-T49)/T49,"")</f>
        <v>-5.1862489636385171E-2</v>
      </c>
      <c r="V50" s="827">
        <f t="shared" si="78"/>
        <v>0.14039443481519651</v>
      </c>
      <c r="W50" s="827">
        <f t="shared" si="78"/>
        <v>-0.10795361964618247</v>
      </c>
      <c r="X50" s="827">
        <f t="shared" si="78"/>
        <v>2.5293493106889692E-2</v>
      </c>
      <c r="Y50" s="827">
        <f t="shared" si="78"/>
        <v>5.7113588813659653E-2</v>
      </c>
      <c r="Z50" s="827">
        <f t="shared" si="78"/>
        <v>6.1698134397345721E-2</v>
      </c>
      <c r="AA50" s="827">
        <f t="shared" ref="AA50" si="79">IFERROR((AA49-Z49)/Z49,"")</f>
        <v>6.6701483129702227E-2</v>
      </c>
      <c r="AB50" s="827">
        <f t="shared" ref="AB50" si="80">IFERROR((AB49-AA49)/AA49,"")</f>
        <v>7.2114808110864057E-2</v>
      </c>
    </row>
    <row r="51" spans="1:32"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</row>
    <row r="52" spans="1:32">
      <c r="C52" s="352" t="str">
        <f t="shared" ref="C52:V52" si="81">C3</f>
        <v>FY2006</v>
      </c>
      <c r="D52" s="352" t="str">
        <f t="shared" si="81"/>
        <v>FY2007</v>
      </c>
      <c r="E52" s="352" t="str">
        <f t="shared" si="81"/>
        <v>FY2008</v>
      </c>
      <c r="F52" s="352" t="str">
        <f t="shared" si="81"/>
        <v>FY2009</v>
      </c>
      <c r="G52" s="352" t="str">
        <f t="shared" si="81"/>
        <v>FY2010</v>
      </c>
      <c r="H52" s="352" t="str">
        <f t="shared" si="81"/>
        <v>FY2011</v>
      </c>
      <c r="I52" s="352" t="str">
        <f t="shared" si="81"/>
        <v>FY2012</v>
      </c>
      <c r="J52" s="352" t="str">
        <f t="shared" si="81"/>
        <v>FY2013</v>
      </c>
      <c r="K52" s="352" t="str">
        <f t="shared" si="81"/>
        <v>FY2014</v>
      </c>
      <c r="L52" s="352" t="str">
        <f t="shared" si="81"/>
        <v>FY2015</v>
      </c>
      <c r="M52" s="352" t="str">
        <f t="shared" si="81"/>
        <v>FY2016</v>
      </c>
      <c r="N52" s="352" t="str">
        <f t="shared" si="81"/>
        <v>FY2017</v>
      </c>
      <c r="O52" s="352" t="str">
        <f t="shared" si="81"/>
        <v>FY2018</v>
      </c>
      <c r="P52" s="352" t="str">
        <f t="shared" si="81"/>
        <v>FY2019</v>
      </c>
      <c r="Q52" s="352" t="str">
        <f t="shared" si="81"/>
        <v>FY2020</v>
      </c>
      <c r="R52" s="352" t="str">
        <f t="shared" si="81"/>
        <v>FY2021</v>
      </c>
      <c r="S52" s="352" t="str">
        <f t="shared" si="81"/>
        <v>FY2022</v>
      </c>
      <c r="T52" s="352" t="str">
        <f t="shared" si="81"/>
        <v>FY2023</v>
      </c>
      <c r="U52" s="352" t="str">
        <f t="shared" si="81"/>
        <v>FY2024</v>
      </c>
      <c r="V52" s="352" t="str">
        <f t="shared" si="81"/>
        <v>FY2025</v>
      </c>
      <c r="W52" s="352" t="str">
        <f t="shared" ref="W52:X52" si="82">W3</f>
        <v>FY2026</v>
      </c>
      <c r="X52" s="352" t="str">
        <f t="shared" si="82"/>
        <v>FY2027</v>
      </c>
      <c r="Y52" s="352" t="str">
        <f t="shared" ref="Y52:Z52" si="83">Y3</f>
        <v>FY2028</v>
      </c>
      <c r="Z52" s="352" t="str">
        <f t="shared" si="83"/>
        <v>FY2029</v>
      </c>
      <c r="AA52" s="352" t="str">
        <f t="shared" ref="AA52:AB52" si="84">AA3</f>
        <v>FY2030</v>
      </c>
      <c r="AB52" s="352" t="str">
        <f t="shared" si="84"/>
        <v>FY2031</v>
      </c>
    </row>
    <row r="53" spans="1:32">
      <c r="B53" s="259" t="s">
        <v>341</v>
      </c>
      <c r="C53" s="599">
        <f t="shared" ref="C53:V53" si="85">C22</f>
        <v>0</v>
      </c>
      <c r="D53" s="599">
        <f t="shared" si="85"/>
        <v>0</v>
      </c>
      <c r="E53" s="599">
        <f t="shared" si="85"/>
        <v>0</v>
      </c>
      <c r="F53" s="599">
        <f t="shared" si="85"/>
        <v>0</v>
      </c>
      <c r="G53" s="599">
        <f t="shared" si="85"/>
        <v>6125530</v>
      </c>
      <c r="H53" s="599">
        <f t="shared" si="85"/>
        <v>5820988</v>
      </c>
      <c r="I53" s="599">
        <f t="shared" si="85"/>
        <v>4493659</v>
      </c>
      <c r="J53" s="599">
        <f t="shared" si="85"/>
        <v>4609239</v>
      </c>
      <c r="K53" s="599">
        <f t="shared" si="85"/>
        <v>4739554</v>
      </c>
      <c r="L53" s="599">
        <f t="shared" si="85"/>
        <v>4847144</v>
      </c>
      <c r="M53" s="599">
        <f t="shared" si="85"/>
        <v>4948593</v>
      </c>
      <c r="N53" s="599">
        <f t="shared" si="85"/>
        <v>5137265</v>
      </c>
      <c r="O53" s="599">
        <f t="shared" si="85"/>
        <v>5194023</v>
      </c>
      <c r="P53" s="599">
        <f t="shared" si="85"/>
        <v>5219288</v>
      </c>
      <c r="Q53" s="599">
        <f t="shared" si="85"/>
        <v>5279339</v>
      </c>
      <c r="R53" s="599">
        <f t="shared" si="85"/>
        <v>5424217</v>
      </c>
      <c r="S53" s="599">
        <f t="shared" si="85"/>
        <v>5480432</v>
      </c>
      <c r="T53" s="599">
        <f t="shared" si="85"/>
        <v>5578578</v>
      </c>
      <c r="U53" s="599">
        <f t="shared" si="85"/>
        <v>5756941</v>
      </c>
      <c r="V53" s="599">
        <f t="shared" si="85"/>
        <v>6008205</v>
      </c>
      <c r="W53" s="599">
        <f t="shared" ref="W53:X53" si="86">W22</f>
        <v>6188485</v>
      </c>
      <c r="X53" s="599">
        <f t="shared" si="86"/>
        <v>6474158</v>
      </c>
      <c r="Y53" s="599">
        <f t="shared" ref="Y53:Z53" si="87">Y22</f>
        <v>6627304.8199999994</v>
      </c>
      <c r="Z53" s="599">
        <f t="shared" si="87"/>
        <v>6788791.6670399997</v>
      </c>
      <c r="AA53" s="599">
        <f t="shared" ref="AA53:AB53" si="88">AA22</f>
        <v>6959235.7466445193</v>
      </c>
      <c r="AB53" s="599">
        <f t="shared" si="88"/>
        <v>7139302.7487361524</v>
      </c>
      <c r="AC53" s="247">
        <f>IFERROR(AVERAGE((M53-L53)/L53,(N53-M53)/M53,(O53-N53)/N53,(P53-O53)/O53,(Q53-P53)/P53,(R53-Q53)/Q53),"")</f>
        <v>1.8986102701248342E-2</v>
      </c>
    </row>
    <row r="54" spans="1:32">
      <c r="B54" s="259" t="s">
        <v>342</v>
      </c>
      <c r="C54" s="599">
        <f t="shared" ref="C54:U54" si="89">C49</f>
        <v>0</v>
      </c>
      <c r="D54" s="599">
        <f t="shared" si="89"/>
        <v>0</v>
      </c>
      <c r="E54" s="599">
        <f t="shared" si="89"/>
        <v>0</v>
      </c>
      <c r="F54" s="599">
        <f t="shared" si="89"/>
        <v>0</v>
      </c>
      <c r="G54" s="599">
        <f t="shared" si="89"/>
        <v>221559</v>
      </c>
      <c r="H54" s="599">
        <f t="shared" si="89"/>
        <v>238138</v>
      </c>
      <c r="I54" s="599">
        <f t="shared" si="89"/>
        <v>175191</v>
      </c>
      <c r="J54" s="599">
        <f t="shared" si="89"/>
        <v>187734</v>
      </c>
      <c r="K54" s="599">
        <f t="shared" si="89"/>
        <v>178700</v>
      </c>
      <c r="L54" s="599">
        <f t="shared" si="89"/>
        <v>192600</v>
      </c>
      <c r="M54" s="599">
        <f t="shared" si="89"/>
        <v>200688</v>
      </c>
      <c r="N54" s="599">
        <f t="shared" si="89"/>
        <v>178618</v>
      </c>
      <c r="O54" s="599">
        <f t="shared" si="89"/>
        <v>197213</v>
      </c>
      <c r="P54" s="599">
        <f t="shared" si="89"/>
        <v>208858</v>
      </c>
      <c r="Q54" s="599">
        <f t="shared" si="89"/>
        <v>238436</v>
      </c>
      <c r="R54" s="599">
        <f t="shared" si="89"/>
        <v>271346</v>
      </c>
      <c r="S54" s="599">
        <f t="shared" si="89"/>
        <v>276278</v>
      </c>
      <c r="T54" s="599">
        <f t="shared" ref="T54" si="90">T49</f>
        <v>270176</v>
      </c>
      <c r="U54" s="599">
        <f t="shared" si="89"/>
        <v>256164</v>
      </c>
      <c r="V54" s="599">
        <f t="shared" ref="V54:W54" si="91">V49</f>
        <v>292128</v>
      </c>
      <c r="W54" s="599">
        <f t="shared" si="91"/>
        <v>260591.72500000001</v>
      </c>
      <c r="X54" s="599">
        <f t="shared" ref="X54:Y54" si="92">X49</f>
        <v>267183</v>
      </c>
      <c r="Y54" s="599">
        <f t="shared" si="92"/>
        <v>282442.78000000003</v>
      </c>
      <c r="Z54" s="599">
        <f t="shared" ref="Z54:AB54" si="93">Z49</f>
        <v>299868.97259999998</v>
      </c>
      <c r="AA54" s="599">
        <f t="shared" si="93"/>
        <v>319870.67781700002</v>
      </c>
      <c r="AB54" s="599">
        <f t="shared" si="93"/>
        <v>342938.09036806499</v>
      </c>
      <c r="AC54" s="247">
        <f>IFERROR(AVERAGE((M54-L54)/L54,(N54-M54)/M54,(O54-N54)/N54,(P54-O54)/O54,(Q54-P54)/P54,(R54-Q54)/Q54),"")</f>
        <v>6.2469493724910764E-2</v>
      </c>
    </row>
    <row r="55" spans="1:32" s="245" customFormat="1" ht="12.75" thickBot="1">
      <c r="A55" s="673"/>
      <c r="B55" s="353" t="s">
        <v>343</v>
      </c>
      <c r="C55" s="600">
        <f t="shared" ref="C55:V55" si="94">C22-C49</f>
        <v>0</v>
      </c>
      <c r="D55" s="600">
        <f t="shared" si="94"/>
        <v>0</v>
      </c>
      <c r="E55" s="600">
        <f t="shared" si="94"/>
        <v>0</v>
      </c>
      <c r="F55" s="600">
        <f t="shared" si="94"/>
        <v>0</v>
      </c>
      <c r="G55" s="600">
        <f t="shared" si="94"/>
        <v>5903971</v>
      </c>
      <c r="H55" s="600">
        <f t="shared" si="94"/>
        <v>5582850</v>
      </c>
      <c r="I55" s="600">
        <f t="shared" si="94"/>
        <v>4318468</v>
      </c>
      <c r="J55" s="600">
        <f t="shared" si="94"/>
        <v>4421505</v>
      </c>
      <c r="K55" s="600">
        <f t="shared" si="94"/>
        <v>4560854</v>
      </c>
      <c r="L55" s="600">
        <f t="shared" si="94"/>
        <v>4654544</v>
      </c>
      <c r="M55" s="600">
        <f t="shared" si="94"/>
        <v>4747905</v>
      </c>
      <c r="N55" s="600">
        <f t="shared" si="94"/>
        <v>4958647</v>
      </c>
      <c r="O55" s="600">
        <f t="shared" si="94"/>
        <v>4996810</v>
      </c>
      <c r="P55" s="600">
        <f t="shared" si="94"/>
        <v>5010430</v>
      </c>
      <c r="Q55" s="600">
        <f t="shared" si="94"/>
        <v>5040903</v>
      </c>
      <c r="R55" s="600">
        <f t="shared" si="94"/>
        <v>5152871</v>
      </c>
      <c r="S55" s="600">
        <f t="shared" si="94"/>
        <v>5204154</v>
      </c>
      <c r="T55" s="600">
        <f t="shared" si="94"/>
        <v>5308402</v>
      </c>
      <c r="U55" s="600">
        <f t="shared" si="94"/>
        <v>5500777</v>
      </c>
      <c r="V55" s="600">
        <f t="shared" si="94"/>
        <v>5716077</v>
      </c>
      <c r="W55" s="600">
        <f t="shared" ref="W55:X55" si="95">W22-W49</f>
        <v>5927893.2750000004</v>
      </c>
      <c r="X55" s="600">
        <f t="shared" si="95"/>
        <v>6206975</v>
      </c>
      <c r="Y55" s="600">
        <f t="shared" ref="Y55:Z55" si="96">Y22-Y49</f>
        <v>6344862.0399999991</v>
      </c>
      <c r="Z55" s="600">
        <f t="shared" si="96"/>
        <v>6488922.6944399998</v>
      </c>
      <c r="AA55" s="600">
        <f t="shared" ref="AA55:AB55" si="97">AA22-AA49</f>
        <v>6639365.0688275192</v>
      </c>
      <c r="AB55" s="600">
        <f t="shared" si="97"/>
        <v>6796364.6583680874</v>
      </c>
      <c r="AC55" s="247">
        <f>IFERROR(AVERAGE((M55-L55)/L55,(N55-M55)/M55,(O55-N55)/N55,(P55-O55)/O55,(Q55-P55)/P55,(R55-Q55)/Q55),"")</f>
        <v>1.7193357552840752E-2</v>
      </c>
      <c r="AE55" s="876"/>
    </row>
    <row r="56" spans="1:32" ht="12.75" thickTop="1">
      <c r="B56" s="822" t="s">
        <v>240</v>
      </c>
      <c r="C56" s="827" t="str">
        <f>IFERROR((C55-B55)/B55,"")</f>
        <v/>
      </c>
      <c r="D56" s="827" t="str">
        <f t="shared" ref="D56:Z56" si="98">IFERROR((D55-C55)/C55,"")</f>
        <v/>
      </c>
      <c r="E56" s="827" t="str">
        <f t="shared" si="98"/>
        <v/>
      </c>
      <c r="F56" s="827" t="str">
        <f t="shared" si="98"/>
        <v/>
      </c>
      <c r="G56" s="827" t="str">
        <f t="shared" si="98"/>
        <v/>
      </c>
      <c r="H56" s="827">
        <f t="shared" si="98"/>
        <v>-5.4390680442027918E-2</v>
      </c>
      <c r="I56" s="827">
        <f t="shared" si="98"/>
        <v>-0.22647608300420036</v>
      </c>
      <c r="J56" s="827">
        <f t="shared" si="98"/>
        <v>2.3859618735162562E-2</v>
      </c>
      <c r="K56" s="827">
        <f t="shared" si="98"/>
        <v>3.1516191884889876E-2</v>
      </c>
      <c r="L56" s="827">
        <f t="shared" si="98"/>
        <v>2.0542205472922397E-2</v>
      </c>
      <c r="M56" s="827">
        <f t="shared" si="98"/>
        <v>2.0058033611885503E-2</v>
      </c>
      <c r="N56" s="827">
        <f t="shared" si="98"/>
        <v>4.4386313542499271E-2</v>
      </c>
      <c r="O56" s="827">
        <f t="shared" si="98"/>
        <v>7.6962526269766735E-3</v>
      </c>
      <c r="P56" s="827">
        <f t="shared" si="98"/>
        <v>2.7257390214957141E-3</v>
      </c>
      <c r="Q56" s="827">
        <f t="shared" si="98"/>
        <v>6.0819131292124632E-3</v>
      </c>
      <c r="R56" s="827">
        <f t="shared" si="98"/>
        <v>2.2211893384974875E-2</v>
      </c>
      <c r="S56" s="827">
        <f t="shared" si="98"/>
        <v>9.9523159031149819E-3</v>
      </c>
      <c r="T56" s="827">
        <f t="shared" si="98"/>
        <v>2.0031690069125547E-2</v>
      </c>
      <c r="U56" s="827">
        <f t="shared" si="98"/>
        <v>3.6239719599231557E-2</v>
      </c>
      <c r="V56" s="827">
        <f t="shared" si="98"/>
        <v>3.9139925141484559E-2</v>
      </c>
      <c r="W56" s="827">
        <f t="shared" si="98"/>
        <v>3.70562319226981E-2</v>
      </c>
      <c r="X56" s="827">
        <f t="shared" si="98"/>
        <v>4.7079411192671922E-2</v>
      </c>
      <c r="Y56" s="827">
        <f t="shared" si="98"/>
        <v>2.2214853451157625E-2</v>
      </c>
      <c r="Z56" s="827">
        <f t="shared" si="98"/>
        <v>2.2705088547520361E-2</v>
      </c>
      <c r="AA56" s="827">
        <f t="shared" ref="AA56" si="99">IFERROR((AA55-Z55)/Z55,"")</f>
        <v>2.318449170559933E-2</v>
      </c>
      <c r="AB56" s="827">
        <f t="shared" ref="AB56" si="100">IFERROR((AB55-AA55)/AA55,"")</f>
        <v>2.3646777653136879E-2</v>
      </c>
    </row>
    <row r="57" spans="1:32">
      <c r="B57" s="467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466"/>
      <c r="W57" s="466"/>
      <c r="X57" s="466"/>
      <c r="Y57" s="466"/>
      <c r="Z57" s="466"/>
      <c r="AA57" s="466"/>
      <c r="AB57" s="466"/>
    </row>
    <row r="58" spans="1:32">
      <c r="B58" s="467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466"/>
      <c r="W58" s="466"/>
      <c r="X58" s="466"/>
      <c r="Y58" s="466"/>
      <c r="Z58" s="466"/>
      <c r="AA58" s="466"/>
      <c r="AB58" s="466"/>
    </row>
    <row r="59" spans="1:32" ht="12" customHeight="1">
      <c r="A59" s="671" t="s">
        <v>142</v>
      </c>
      <c r="B59" s="242" t="s">
        <v>344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466"/>
      <c r="X59" s="346"/>
      <c r="Y59" s="346"/>
      <c r="Z59" s="346"/>
      <c r="AA59" s="346"/>
      <c r="AB59" s="346"/>
      <c r="AC59" s="244"/>
      <c r="AD59" s="244"/>
      <c r="AE59" s="877"/>
      <c r="AF59" s="244"/>
    </row>
    <row r="60" spans="1:32" s="381" customFormat="1" ht="12" customHeight="1">
      <c r="A60" s="671"/>
      <c r="B60" s="948" t="s">
        <v>345</v>
      </c>
      <c r="C60" s="221"/>
      <c r="D60" s="221"/>
      <c r="E60" s="221"/>
      <c r="F60" s="221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877"/>
      <c r="AD60" s="877"/>
      <c r="AE60" s="877"/>
      <c r="AF60" s="877"/>
    </row>
    <row r="61" spans="1:32" ht="12" customHeight="1">
      <c r="B61" s="242" t="s">
        <v>346</v>
      </c>
      <c r="C61" s="244"/>
      <c r="D61" s="244"/>
      <c r="E61" s="244"/>
      <c r="F61" s="244"/>
      <c r="G61" s="340"/>
      <c r="H61" s="348"/>
      <c r="I61" s="348"/>
      <c r="J61" s="348"/>
      <c r="K61" s="348"/>
      <c r="L61" s="348"/>
      <c r="M61" s="348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877"/>
      <c r="AF61" s="244"/>
    </row>
    <row r="62" spans="1:32" s="381" customFormat="1" ht="12" customHeight="1">
      <c r="A62" s="671"/>
      <c r="B62" s="948" t="s">
        <v>347</v>
      </c>
      <c r="C62" s="877"/>
      <c r="D62" s="877"/>
      <c r="E62" s="877"/>
      <c r="F62" s="877"/>
      <c r="G62" s="949"/>
      <c r="H62" s="950"/>
      <c r="I62" s="950"/>
      <c r="J62" s="950"/>
      <c r="K62" s="950"/>
      <c r="L62" s="950"/>
      <c r="M62" s="950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877"/>
      <c r="AC62" s="877"/>
      <c r="AD62" s="877"/>
      <c r="AE62" s="877"/>
      <c r="AF62" s="877"/>
    </row>
    <row r="63" spans="1:32" ht="12" customHeight="1">
      <c r="A63" s="672" t="s">
        <v>217</v>
      </c>
      <c r="B63" s="15" t="s">
        <v>348</v>
      </c>
      <c r="G63" s="354"/>
      <c r="H63" s="348"/>
      <c r="I63" s="348"/>
      <c r="J63" s="348"/>
      <c r="K63" s="348"/>
      <c r="L63" s="346"/>
      <c r="M63" s="346"/>
    </row>
    <row r="64" spans="1:32" ht="12" customHeight="1">
      <c r="A64" s="672" t="s">
        <v>220</v>
      </c>
      <c r="B64" s="242" t="s">
        <v>349</v>
      </c>
      <c r="G64" s="354"/>
      <c r="H64" s="584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4"/>
      <c r="W64" s="584"/>
      <c r="X64" s="584"/>
      <c r="Y64" s="584"/>
      <c r="Z64" s="584"/>
      <c r="AA64" s="584"/>
      <c r="AB64" s="584"/>
    </row>
    <row r="65" spans="1:31" ht="12" customHeight="1">
      <c r="A65" s="675" t="s">
        <v>222</v>
      </c>
      <c r="B65" s="242" t="s">
        <v>350</v>
      </c>
      <c r="G65" s="354"/>
      <c r="H65" s="584"/>
      <c r="I65" s="584"/>
      <c r="J65" s="584"/>
      <c r="K65" s="584"/>
      <c r="L65" s="584"/>
      <c r="M65" s="584"/>
    </row>
    <row r="66" spans="1:31" s="587" customFormat="1" ht="12" customHeight="1">
      <c r="A66" s="671" t="s">
        <v>226</v>
      </c>
      <c r="B66" s="242" t="s">
        <v>351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E66" s="878"/>
    </row>
    <row r="67" spans="1:31" s="587" customFormat="1" ht="12" customHeight="1">
      <c r="A67" s="676"/>
      <c r="B67" s="296" t="s">
        <v>352</v>
      </c>
      <c r="C67" s="355"/>
      <c r="D67" s="355"/>
      <c r="E67" s="355"/>
      <c r="F67" s="355"/>
      <c r="G67" s="355"/>
      <c r="H67" s="355"/>
      <c r="I67" s="355"/>
      <c r="J67" s="355"/>
      <c r="K67" s="355"/>
      <c r="L67" s="585"/>
      <c r="M67" s="585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E67" s="878"/>
    </row>
    <row r="72" spans="1:31">
      <c r="N72" s="355"/>
    </row>
    <row r="73" spans="1:31">
      <c r="N73" s="355"/>
    </row>
    <row r="74" spans="1:31">
      <c r="N74" s="355"/>
    </row>
    <row r="75" spans="1:31">
      <c r="N75" s="355"/>
    </row>
    <row r="76" spans="1:31">
      <c r="P76" s="243"/>
    </row>
  </sheetData>
  <phoneticPr fontId="40" type="noConversion"/>
  <hyperlinks>
    <hyperlink ref="AE7" r:id="rId1" xr:uid="{00000000-0004-0000-0500-000000000000}"/>
    <hyperlink ref="B60" r:id="rId2" xr:uid="{BAF5F4B3-DA1F-4DCA-AC02-FCDD26E75BDD}"/>
    <hyperlink ref="B62" r:id="rId3" xr:uid="{E70EF327-7C40-4218-8FFC-19A13770DFCB}"/>
  </hyperlinks>
  <pageMargins left="0.25" right="0.25" top="0.5" bottom="0.5" header="0.3" footer="0.3"/>
  <pageSetup scale="76" orientation="landscape" r:id="rId4"/>
  <headerFooter>
    <oddFooter>&amp;L&amp;9&amp;A&amp;C&amp;10page &amp;P of &amp;N&amp;R&amp;9&amp;D</oddFooter>
  </headerFooter>
  <rowBreaks count="1" manualBreakCount="1">
    <brk id="51" max="25" man="1"/>
  </rowBreaks>
  <ignoredErrors>
    <ignoredError sqref="R30:U30 R28:U28 R24:U24 R22:U22 V32:V35 V27:V28 V22:V25 V49 W8:W11 W32:W35 V9 V10 R16:S16 V14 V15 V17 X8:X11 Y8:Y48 Z8:Z58 V11 V16 V30 V38:V39 V42 V44:V46 V48 W14:W17 W38:W39 W42:W46 W48 X14:X17 X22:X30 X32:X35 X38:X39 X42 X48:X51 X44:X4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CCCC"/>
  </sheetPr>
  <dimension ref="A1:AH117"/>
  <sheetViews>
    <sheetView showGridLines="0" zoomScaleNormal="100" zoomScaleSheetLayoutView="120" workbookViewId="0">
      <pane xSplit="2" ySplit="6" topLeftCell="S16" activePane="bottomRight" state="frozen"/>
      <selection pane="bottomRight" activeCell="X29" sqref="X29"/>
      <selection pane="bottomLeft" activeCell="A7" sqref="A7"/>
      <selection pane="topRight" activeCell="B1" sqref="B1"/>
    </sheetView>
  </sheetViews>
  <sheetFormatPr defaultColWidth="8.75" defaultRowHeight="15.75"/>
  <cols>
    <col min="1" max="1" width="2.5" style="206" customWidth="1"/>
    <col min="2" max="2" width="32.25" style="32" customWidth="1"/>
    <col min="3" max="3" width="7.625" style="32" customWidth="1"/>
    <col min="4" max="8" width="7.125" style="32" customWidth="1"/>
    <col min="9" max="12" width="8.125" style="46" customWidth="1"/>
    <col min="13" max="13" width="8.125" style="47" customWidth="1"/>
    <col min="14" max="27" width="7.875" style="47" customWidth="1"/>
    <col min="28" max="28" width="8.875" style="47" bestFit="1" customWidth="1"/>
    <col min="30" max="30" width="1.625" style="49" customWidth="1"/>
    <col min="31" max="31" width="6.375" style="797" bestFit="1" customWidth="1"/>
    <col min="32" max="32" width="7.625" style="49" bestFit="1" customWidth="1"/>
    <col min="33" max="33" width="9.75" style="49" bestFit="1" customWidth="1"/>
    <col min="34" max="37" width="6" style="49" bestFit="1" customWidth="1"/>
    <col min="38" max="38" width="11.125" style="49" customWidth="1"/>
    <col min="39" max="16384" width="8.75" style="49"/>
  </cols>
  <sheetData>
    <row r="1" spans="1:34" s="1" customFormat="1" ht="12">
      <c r="A1" s="382"/>
      <c r="B1" s="38" t="str">
        <f>Summary!B1</f>
        <v>Municipality of Berkley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AE1" s="795"/>
    </row>
    <row r="2" spans="1:34" s="1" customFormat="1" ht="12">
      <c r="A2" s="382"/>
      <c r="B2" s="5" t="s">
        <v>353</v>
      </c>
      <c r="C2" s="69"/>
      <c r="D2" s="69"/>
      <c r="E2" s="4"/>
      <c r="F2" s="4"/>
      <c r="G2" s="4"/>
      <c r="H2" s="4"/>
      <c r="I2" s="4"/>
      <c r="J2" s="4"/>
      <c r="K2" s="4"/>
      <c r="L2" s="4"/>
      <c r="M2" s="4"/>
      <c r="AE2" s="795"/>
    </row>
    <row r="3" spans="1:34">
      <c r="C3" s="3"/>
      <c r="D3" s="3"/>
      <c r="E3" s="3"/>
      <c r="F3" s="3"/>
      <c r="G3" s="3"/>
      <c r="AE3" s="796"/>
      <c r="AF3" s="75"/>
    </row>
    <row r="4" spans="1:34">
      <c r="C4" s="3"/>
      <c r="D4" s="3"/>
      <c r="E4" s="3"/>
      <c r="F4" s="3"/>
      <c r="G4" s="3"/>
      <c r="AF4" s="7"/>
    </row>
    <row r="5" spans="1:34" s="76" customFormat="1" ht="12">
      <c r="A5" s="216"/>
      <c r="B5" s="77"/>
      <c r="C5" s="79" t="s">
        <v>82</v>
      </c>
      <c r="D5" s="79" t="s">
        <v>83</v>
      </c>
      <c r="E5" s="79" t="s">
        <v>84</v>
      </c>
      <c r="F5" s="79" t="s">
        <v>85</v>
      </c>
      <c r="G5" s="79" t="s">
        <v>86</v>
      </c>
      <c r="H5" s="79" t="s">
        <v>87</v>
      </c>
      <c r="I5" s="175" t="s">
        <v>88</v>
      </c>
      <c r="J5" s="175" t="s">
        <v>89</v>
      </c>
      <c r="K5" s="175" t="s">
        <v>90</v>
      </c>
      <c r="L5" s="175" t="s">
        <v>91</v>
      </c>
      <c r="M5" s="78" t="s">
        <v>92</v>
      </c>
      <c r="N5" s="78" t="s">
        <v>93</v>
      </c>
      <c r="O5" s="78" t="s">
        <v>94</v>
      </c>
      <c r="P5" s="78" t="s">
        <v>95</v>
      </c>
      <c r="Q5" s="78" t="s">
        <v>96</v>
      </c>
      <c r="R5" s="78" t="s">
        <v>97</v>
      </c>
      <c r="S5" s="78" t="s">
        <v>98</v>
      </c>
      <c r="T5" s="78" t="s">
        <v>99</v>
      </c>
      <c r="U5" s="78" t="s">
        <v>100</v>
      </c>
      <c r="V5" s="78" t="s">
        <v>101</v>
      </c>
      <c r="W5" s="78" t="s">
        <v>102</v>
      </c>
      <c r="X5" s="78" t="s">
        <v>103</v>
      </c>
      <c r="Y5" s="78" t="s">
        <v>104</v>
      </c>
      <c r="Z5" s="78" t="s">
        <v>105</v>
      </c>
      <c r="AA5" s="78" t="s">
        <v>106</v>
      </c>
      <c r="AB5" s="78" t="s">
        <v>107</v>
      </c>
      <c r="AE5" s="260" t="s">
        <v>212</v>
      </c>
      <c r="AF5" s="260" t="s">
        <v>157</v>
      </c>
    </row>
    <row r="6" spans="1:34" s="7" customFormat="1" ht="12">
      <c r="A6" s="217"/>
      <c r="B6" s="723" t="s">
        <v>354</v>
      </c>
      <c r="C6" s="90" t="s">
        <v>158</v>
      </c>
      <c r="D6" s="90" t="s">
        <v>158</v>
      </c>
      <c r="E6" s="90" t="s">
        <v>158</v>
      </c>
      <c r="F6" s="90" t="s">
        <v>158</v>
      </c>
      <c r="G6" s="90" t="s">
        <v>158</v>
      </c>
      <c r="H6" s="90" t="s">
        <v>158</v>
      </c>
      <c r="I6" s="176" t="s">
        <v>158</v>
      </c>
      <c r="J6" s="176" t="s">
        <v>158</v>
      </c>
      <c r="K6" s="176" t="s">
        <v>158</v>
      </c>
      <c r="L6" s="176" t="s">
        <v>158</v>
      </c>
      <c r="M6" s="91" t="s">
        <v>158</v>
      </c>
      <c r="N6" s="91" t="s">
        <v>158</v>
      </c>
      <c r="O6" s="91" t="s">
        <v>158</v>
      </c>
      <c r="P6" s="91" t="s">
        <v>158</v>
      </c>
      <c r="Q6" s="91" t="s">
        <v>158</v>
      </c>
      <c r="R6" s="91" t="s">
        <v>158</v>
      </c>
      <c r="S6" s="91" t="s">
        <v>158</v>
      </c>
      <c r="T6" s="91" t="s">
        <v>158</v>
      </c>
      <c r="U6" s="91" t="s">
        <v>158</v>
      </c>
      <c r="V6" s="80" t="s">
        <v>158</v>
      </c>
      <c r="W6" s="80" t="s">
        <v>158</v>
      </c>
      <c r="X6" s="80" t="s">
        <v>158</v>
      </c>
      <c r="Y6" s="80" t="s">
        <v>159</v>
      </c>
      <c r="Z6" s="80" t="s">
        <v>159</v>
      </c>
      <c r="AA6" s="80" t="s">
        <v>159</v>
      </c>
      <c r="AB6" s="80" t="s">
        <v>159</v>
      </c>
      <c r="AE6" s="260" t="s">
        <v>213</v>
      </c>
      <c r="AF6" s="260" t="s">
        <v>160</v>
      </c>
    </row>
    <row r="7" spans="1:34">
      <c r="B7" s="81" t="s">
        <v>355</v>
      </c>
      <c r="C7" s="356">
        <v>650000</v>
      </c>
      <c r="D7" s="356">
        <v>0</v>
      </c>
      <c r="E7" s="356">
        <v>0</v>
      </c>
      <c r="F7" s="356">
        <v>0</v>
      </c>
      <c r="G7" s="356">
        <v>0</v>
      </c>
      <c r="H7" s="356">
        <v>0</v>
      </c>
      <c r="I7" s="356">
        <v>0</v>
      </c>
      <c r="J7" s="356">
        <v>0</v>
      </c>
      <c r="K7" s="356">
        <v>0</v>
      </c>
      <c r="L7" s="356">
        <v>0</v>
      </c>
      <c r="M7" s="356">
        <v>0</v>
      </c>
      <c r="N7" s="356">
        <v>654000</v>
      </c>
      <c r="O7" s="356">
        <v>654000</v>
      </c>
      <c r="P7" s="356">
        <v>654000</v>
      </c>
      <c r="Q7" s="356">
        <v>730700</v>
      </c>
      <c r="R7" s="601">
        <v>730700</v>
      </c>
      <c r="S7" s="601">
        <v>775000</v>
      </c>
      <c r="T7" s="601">
        <v>895000</v>
      </c>
      <c r="U7" s="601">
        <v>850000</v>
      </c>
      <c r="V7" s="601">
        <v>875000</v>
      </c>
      <c r="W7" s="601">
        <v>920000</v>
      </c>
      <c r="X7" s="601">
        <v>1003039</v>
      </c>
      <c r="Y7" s="601">
        <f t="shared" ref="Y7:Z20" si="0">ROUND(X7*(1+$AF7),0)</f>
        <v>1023100</v>
      </c>
      <c r="Z7" s="601">
        <f t="shared" si="0"/>
        <v>1043562</v>
      </c>
      <c r="AA7" s="601">
        <f t="shared" ref="AA7:AB7" si="1">ROUND(Z7*(1+$AF7),0)</f>
        <v>1064433</v>
      </c>
      <c r="AB7" s="601">
        <f t="shared" si="1"/>
        <v>1085722</v>
      </c>
      <c r="AD7" s="82"/>
      <c r="AE7" s="798" t="str">
        <f>IFERROR(AVERAGE((M7-L7)/L7,
                 (N7-M7)/M7,
                 (O7-N7)/N7,
                 (P7-O7)/O7,
                 (Q7-P7)/P7,
                 (R7-Q7)/Q7,
                 (S7-R7)/R7,
                 (T7-S7)/S7,
                 (U7-T7)/T7,
                 (V7-U7)/U7,
                 (W7-V7)/V7),"")</f>
        <v/>
      </c>
      <c r="AF7" s="59">
        <v>0.02</v>
      </c>
      <c r="AH7" s="266" t="s">
        <v>356</v>
      </c>
    </row>
    <row r="8" spans="1:34">
      <c r="B8" s="84" t="s">
        <v>357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356">
        <v>0</v>
      </c>
      <c r="I8" s="356">
        <v>0</v>
      </c>
      <c r="J8" s="356">
        <v>0</v>
      </c>
      <c r="K8" s="356">
        <v>0</v>
      </c>
      <c r="L8" s="356">
        <v>0</v>
      </c>
      <c r="M8" s="356">
        <v>0</v>
      </c>
      <c r="N8" s="356">
        <v>20000</v>
      </c>
      <c r="O8" s="356">
        <v>20000</v>
      </c>
      <c r="P8" s="356">
        <v>20000</v>
      </c>
      <c r="Q8" s="356">
        <v>20000</v>
      </c>
      <c r="R8" s="601">
        <v>15000</v>
      </c>
      <c r="S8" s="601">
        <v>20000</v>
      </c>
      <c r="T8" s="601">
        <v>20000</v>
      </c>
      <c r="U8" s="601">
        <v>30000</v>
      </c>
      <c r="V8" s="601">
        <v>35000</v>
      </c>
      <c r="W8" s="601">
        <v>40000</v>
      </c>
      <c r="X8" s="601">
        <f>51000</f>
        <v>51000</v>
      </c>
      <c r="Y8" s="601">
        <f t="shared" si="0"/>
        <v>52020</v>
      </c>
      <c r="Z8" s="601">
        <f t="shared" si="0"/>
        <v>53060</v>
      </c>
      <c r="AA8" s="601">
        <f t="shared" ref="AA8:AB8" si="2">ROUND(Z8*(1+$AF8),0)</f>
        <v>54121</v>
      </c>
      <c r="AB8" s="601">
        <f t="shared" si="2"/>
        <v>55203</v>
      </c>
      <c r="AD8" s="82"/>
      <c r="AE8" s="798" t="str">
        <f t="shared" ref="AE8:AE35" si="3">IFERROR(AVERAGE((M8-L8)/L8,(N8-M8)/M8,(O8-N8)/N8,(P8-O8)/O8,(Q8-P8)/P8,(R8-Q8)/Q8),"")</f>
        <v/>
      </c>
      <c r="AF8" s="59">
        <v>0.02</v>
      </c>
      <c r="AH8" s="85"/>
    </row>
    <row r="9" spans="1:34">
      <c r="B9" s="84" t="s">
        <v>358</v>
      </c>
      <c r="C9" s="356">
        <v>0</v>
      </c>
      <c r="D9" s="356">
        <v>0</v>
      </c>
      <c r="E9" s="356">
        <v>0</v>
      </c>
      <c r="F9" s="356">
        <v>0</v>
      </c>
      <c r="G9" s="356">
        <v>0</v>
      </c>
      <c r="H9" s="356">
        <v>0</v>
      </c>
      <c r="I9" s="356">
        <v>0</v>
      </c>
      <c r="J9" s="356">
        <v>0</v>
      </c>
      <c r="K9" s="356">
        <v>0</v>
      </c>
      <c r="L9" s="356">
        <v>0</v>
      </c>
      <c r="M9" s="356">
        <v>0</v>
      </c>
      <c r="N9" s="356">
        <v>0</v>
      </c>
      <c r="O9" s="356">
        <v>0</v>
      </c>
      <c r="P9" s="356">
        <v>0</v>
      </c>
      <c r="Q9" s="356">
        <v>0</v>
      </c>
      <c r="R9" s="601">
        <v>0</v>
      </c>
      <c r="S9" s="601">
        <f t="shared" ref="S9:W10" si="4">ROUND(R9*(1+$AF9),0)</f>
        <v>0</v>
      </c>
      <c r="T9" s="601">
        <f t="shared" si="4"/>
        <v>0</v>
      </c>
      <c r="U9" s="601">
        <f t="shared" si="4"/>
        <v>0</v>
      </c>
      <c r="V9" s="601">
        <f t="shared" si="4"/>
        <v>0</v>
      </c>
      <c r="W9" s="601">
        <f t="shared" si="4"/>
        <v>0</v>
      </c>
      <c r="X9" s="601">
        <f>V42*0.8</f>
        <v>0</v>
      </c>
      <c r="Y9" s="601">
        <f t="shared" si="0"/>
        <v>0</v>
      </c>
      <c r="Z9" s="601">
        <f t="shared" si="0"/>
        <v>0</v>
      </c>
      <c r="AA9" s="601">
        <f t="shared" ref="AA9:AB9" si="5">ROUND(Z9*(1+$AF9),0)</f>
        <v>0</v>
      </c>
      <c r="AB9" s="601">
        <f t="shared" si="5"/>
        <v>0</v>
      </c>
      <c r="AD9" s="82"/>
      <c r="AE9" s="798" t="str">
        <f t="shared" si="3"/>
        <v/>
      </c>
      <c r="AF9" s="59">
        <v>0.02</v>
      </c>
    </row>
    <row r="10" spans="1:34">
      <c r="B10" s="84" t="s">
        <v>359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6">
        <v>0</v>
      </c>
      <c r="J10" s="356">
        <v>0</v>
      </c>
      <c r="K10" s="356">
        <v>0</v>
      </c>
      <c r="L10" s="356">
        <v>0</v>
      </c>
      <c r="M10" s="356">
        <v>0</v>
      </c>
      <c r="N10" s="356">
        <v>0</v>
      </c>
      <c r="O10" s="356">
        <v>0</v>
      </c>
      <c r="P10" s="356">
        <v>0</v>
      </c>
      <c r="Q10" s="356">
        <v>0</v>
      </c>
      <c r="R10" s="601">
        <v>0</v>
      </c>
      <c r="S10" s="601">
        <f t="shared" si="4"/>
        <v>0</v>
      </c>
      <c r="T10" s="601">
        <f t="shared" si="4"/>
        <v>0</v>
      </c>
      <c r="U10" s="601">
        <f t="shared" si="4"/>
        <v>0</v>
      </c>
      <c r="V10" s="601">
        <f t="shared" si="4"/>
        <v>0</v>
      </c>
      <c r="W10" s="601">
        <f t="shared" si="4"/>
        <v>0</v>
      </c>
      <c r="X10" s="601">
        <f t="shared" ref="X10:X29" si="6">V43*0.8</f>
        <v>0</v>
      </c>
      <c r="Y10" s="601">
        <f t="shared" si="0"/>
        <v>0</v>
      </c>
      <c r="Z10" s="601">
        <f t="shared" si="0"/>
        <v>0</v>
      </c>
      <c r="AA10" s="601">
        <f t="shared" ref="AA10:AB10" si="7">ROUND(Z10*(1+$AF10),0)</f>
        <v>0</v>
      </c>
      <c r="AB10" s="601">
        <f t="shared" si="7"/>
        <v>0</v>
      </c>
      <c r="AE10" s="798" t="str">
        <f t="shared" si="3"/>
        <v/>
      </c>
      <c r="AF10" s="59">
        <v>0.02</v>
      </c>
    </row>
    <row r="11" spans="1:34">
      <c r="B11" s="84" t="s">
        <v>360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  <c r="I11" s="356">
        <v>0</v>
      </c>
      <c r="J11" s="356">
        <v>0</v>
      </c>
      <c r="K11" s="356">
        <v>0</v>
      </c>
      <c r="L11" s="356">
        <v>0</v>
      </c>
      <c r="M11" s="356">
        <v>0</v>
      </c>
      <c r="N11" s="356">
        <v>0</v>
      </c>
      <c r="O11" s="356">
        <v>0</v>
      </c>
      <c r="P11" s="356">
        <v>0</v>
      </c>
      <c r="Q11" s="356">
        <v>0</v>
      </c>
      <c r="R11" s="601">
        <v>0</v>
      </c>
      <c r="S11" s="601">
        <f>ROUND(R11*(1+$AF11),0)</f>
        <v>0</v>
      </c>
      <c r="T11" s="601">
        <f>ROUND(S11*(1+$AF11),0)</f>
        <v>0</v>
      </c>
      <c r="U11" s="601">
        <f>ROUND(T11*(1+$AF11),0)</f>
        <v>0</v>
      </c>
      <c r="V11" s="601">
        <f>ROUND(U11*(1+$AF11),0)</f>
        <v>0</v>
      </c>
      <c r="W11" s="601">
        <v>19000</v>
      </c>
      <c r="X11" s="601">
        <v>35904</v>
      </c>
      <c r="Y11" s="601">
        <f t="shared" si="0"/>
        <v>36622</v>
      </c>
      <c r="Z11" s="601">
        <f t="shared" si="0"/>
        <v>37354</v>
      </c>
      <c r="AA11" s="601">
        <f t="shared" ref="AA11:AB11" si="8">ROUND(Z11*(1+$AF11),0)</f>
        <v>38101</v>
      </c>
      <c r="AB11" s="601">
        <f t="shared" si="8"/>
        <v>38863</v>
      </c>
      <c r="AE11" s="798" t="str">
        <f t="shared" si="3"/>
        <v/>
      </c>
      <c r="AF11" s="59">
        <v>0.02</v>
      </c>
    </row>
    <row r="12" spans="1:34">
      <c r="B12" s="81" t="s">
        <v>361</v>
      </c>
      <c r="C12" s="356">
        <v>29000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45000</v>
      </c>
      <c r="O12" s="356">
        <v>45000</v>
      </c>
      <c r="P12" s="356">
        <v>45000</v>
      </c>
      <c r="Q12" s="356">
        <v>45000</v>
      </c>
      <c r="R12" s="601">
        <v>45000</v>
      </c>
      <c r="S12" s="601">
        <v>45000</v>
      </c>
      <c r="T12" s="601">
        <v>45000</v>
      </c>
      <c r="U12" s="601">
        <v>55000</v>
      </c>
      <c r="V12" s="601">
        <v>60000</v>
      </c>
      <c r="W12" s="601">
        <v>90000</v>
      </c>
      <c r="X12" s="601">
        <v>90000</v>
      </c>
      <c r="Y12" s="601">
        <f t="shared" si="0"/>
        <v>91800</v>
      </c>
      <c r="Z12" s="601">
        <f t="shared" si="0"/>
        <v>93636</v>
      </c>
      <c r="AA12" s="601">
        <f t="shared" ref="AA12:AB12" si="9">ROUND(Z12*(1+$AF12),0)</f>
        <v>95509</v>
      </c>
      <c r="AB12" s="601">
        <f t="shared" si="9"/>
        <v>97419</v>
      </c>
      <c r="AD12" s="82"/>
      <c r="AE12" s="798" t="str">
        <f t="shared" si="3"/>
        <v/>
      </c>
      <c r="AF12" s="59">
        <v>0.02</v>
      </c>
    </row>
    <row r="13" spans="1:34">
      <c r="B13" s="81" t="s">
        <v>362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  <c r="O13" s="356">
        <v>0</v>
      </c>
      <c r="P13" s="356">
        <v>0</v>
      </c>
      <c r="Q13" s="356">
        <v>0</v>
      </c>
      <c r="R13" s="601">
        <v>0</v>
      </c>
      <c r="S13" s="601">
        <f t="shared" ref="S13:W17" si="10">ROUND(R13*(1+$AF13),0)</f>
        <v>0</v>
      </c>
      <c r="T13" s="601">
        <f t="shared" si="10"/>
        <v>0</v>
      </c>
      <c r="U13" s="601">
        <f t="shared" si="10"/>
        <v>0</v>
      </c>
      <c r="V13" s="601">
        <f t="shared" si="10"/>
        <v>0</v>
      </c>
      <c r="W13" s="601">
        <f t="shared" si="10"/>
        <v>0</v>
      </c>
      <c r="X13" s="601">
        <f>V46</f>
        <v>163854</v>
      </c>
      <c r="Y13" s="601">
        <f t="shared" si="0"/>
        <v>167131</v>
      </c>
      <c r="Z13" s="601">
        <f t="shared" si="0"/>
        <v>170474</v>
      </c>
      <c r="AA13" s="601">
        <f t="shared" ref="AA13:AB13" si="11">ROUND(Z13*(1+$AF13),0)</f>
        <v>173883</v>
      </c>
      <c r="AB13" s="601">
        <f t="shared" si="11"/>
        <v>177361</v>
      </c>
      <c r="AD13" s="82"/>
      <c r="AE13" s="798" t="str">
        <f t="shared" si="3"/>
        <v/>
      </c>
      <c r="AF13" s="59">
        <v>0.02</v>
      </c>
    </row>
    <row r="14" spans="1:34">
      <c r="B14" s="81" t="s">
        <v>363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  <c r="Q14" s="356">
        <v>0</v>
      </c>
      <c r="R14" s="601">
        <v>0</v>
      </c>
      <c r="S14" s="601">
        <f t="shared" si="10"/>
        <v>0</v>
      </c>
      <c r="T14" s="601">
        <f t="shared" si="10"/>
        <v>0</v>
      </c>
      <c r="U14" s="601">
        <f t="shared" si="10"/>
        <v>0</v>
      </c>
      <c r="V14" s="601">
        <f t="shared" si="10"/>
        <v>0</v>
      </c>
      <c r="W14" s="601">
        <f t="shared" si="10"/>
        <v>0</v>
      </c>
      <c r="X14" s="601">
        <f t="shared" si="6"/>
        <v>0</v>
      </c>
      <c r="Y14" s="601">
        <f t="shared" si="0"/>
        <v>0</v>
      </c>
      <c r="Z14" s="601">
        <f t="shared" si="0"/>
        <v>0</v>
      </c>
      <c r="AA14" s="601">
        <f t="shared" ref="AA14:AB14" si="12">ROUND(Z14*(1+$AF14),0)</f>
        <v>0</v>
      </c>
      <c r="AB14" s="601">
        <f t="shared" si="12"/>
        <v>0</v>
      </c>
      <c r="AD14" s="82"/>
      <c r="AE14" s="798" t="str">
        <f t="shared" si="3"/>
        <v/>
      </c>
      <c r="AF14" s="59">
        <v>0.02</v>
      </c>
    </row>
    <row r="15" spans="1:34">
      <c r="B15" s="81" t="s">
        <v>364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356">
        <v>0</v>
      </c>
      <c r="Q15" s="356">
        <v>0</v>
      </c>
      <c r="R15" s="601">
        <v>0</v>
      </c>
      <c r="S15" s="601">
        <f t="shared" si="10"/>
        <v>0</v>
      </c>
      <c r="T15" s="601">
        <f t="shared" si="10"/>
        <v>0</v>
      </c>
      <c r="U15" s="601">
        <f t="shared" si="10"/>
        <v>0</v>
      </c>
      <c r="V15" s="601">
        <f t="shared" si="10"/>
        <v>0</v>
      </c>
      <c r="W15" s="601">
        <f t="shared" si="10"/>
        <v>0</v>
      </c>
      <c r="X15" s="601">
        <f t="shared" si="6"/>
        <v>0</v>
      </c>
      <c r="Y15" s="601">
        <f t="shared" si="0"/>
        <v>0</v>
      </c>
      <c r="Z15" s="601">
        <f t="shared" si="0"/>
        <v>0</v>
      </c>
      <c r="AA15" s="601">
        <f t="shared" ref="AA15:AB15" si="13">ROUND(Z15*(1+$AF15),0)</f>
        <v>0</v>
      </c>
      <c r="AB15" s="601">
        <f t="shared" si="13"/>
        <v>0</v>
      </c>
      <c r="AD15" s="82"/>
      <c r="AE15" s="798" t="str">
        <f t="shared" si="3"/>
        <v/>
      </c>
      <c r="AF15" s="59">
        <v>0.02</v>
      </c>
    </row>
    <row r="16" spans="1:34">
      <c r="B16" s="81" t="s">
        <v>365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356">
        <v>0</v>
      </c>
      <c r="R16" s="601">
        <v>0</v>
      </c>
      <c r="S16" s="601">
        <f t="shared" si="10"/>
        <v>0</v>
      </c>
      <c r="T16" s="601">
        <f t="shared" si="10"/>
        <v>0</v>
      </c>
      <c r="U16" s="601">
        <f t="shared" si="10"/>
        <v>0</v>
      </c>
      <c r="V16" s="601">
        <f t="shared" si="10"/>
        <v>0</v>
      </c>
      <c r="W16" s="601">
        <f t="shared" si="10"/>
        <v>0</v>
      </c>
      <c r="X16" s="601">
        <f t="shared" si="6"/>
        <v>0</v>
      </c>
      <c r="Y16" s="601">
        <f t="shared" si="0"/>
        <v>0</v>
      </c>
      <c r="Z16" s="601">
        <f t="shared" si="0"/>
        <v>0</v>
      </c>
      <c r="AA16" s="601">
        <f t="shared" ref="AA16:AB16" si="14">ROUND(Z16*(1+$AF16),0)</f>
        <v>0</v>
      </c>
      <c r="AB16" s="601">
        <f t="shared" si="14"/>
        <v>0</v>
      </c>
      <c r="AD16" s="82"/>
      <c r="AE16" s="798" t="str">
        <f t="shared" si="3"/>
        <v/>
      </c>
      <c r="AF16" s="59">
        <v>0.02</v>
      </c>
    </row>
    <row r="17" spans="2:32">
      <c r="B17" s="81" t="s">
        <v>366</v>
      </c>
      <c r="C17" s="356">
        <v>55000</v>
      </c>
      <c r="D17" s="356">
        <v>0</v>
      </c>
      <c r="E17" s="356">
        <v>0</v>
      </c>
      <c r="F17" s="356">
        <v>0</v>
      </c>
      <c r="G17" s="356">
        <v>0</v>
      </c>
      <c r="H17" s="356">
        <v>0</v>
      </c>
      <c r="I17" s="356">
        <v>0</v>
      </c>
      <c r="J17" s="356">
        <v>0</v>
      </c>
      <c r="K17" s="356">
        <v>0</v>
      </c>
      <c r="L17" s="356">
        <v>0</v>
      </c>
      <c r="M17" s="356">
        <v>0</v>
      </c>
      <c r="N17" s="356">
        <v>0</v>
      </c>
      <c r="O17" s="356">
        <v>0</v>
      </c>
      <c r="P17" s="356">
        <v>0</v>
      </c>
      <c r="Q17" s="356">
        <v>0</v>
      </c>
      <c r="R17" s="601">
        <v>0</v>
      </c>
      <c r="S17" s="601">
        <f t="shared" si="10"/>
        <v>0</v>
      </c>
      <c r="T17" s="601">
        <f t="shared" si="10"/>
        <v>0</v>
      </c>
      <c r="U17" s="601">
        <f t="shared" si="10"/>
        <v>0</v>
      </c>
      <c r="V17" s="601">
        <f t="shared" si="10"/>
        <v>0</v>
      </c>
      <c r="W17" s="601">
        <f t="shared" si="10"/>
        <v>0</v>
      </c>
      <c r="X17" s="601">
        <f t="shared" si="6"/>
        <v>0</v>
      </c>
      <c r="Y17" s="601">
        <f t="shared" si="0"/>
        <v>0</v>
      </c>
      <c r="Z17" s="601">
        <f t="shared" si="0"/>
        <v>0</v>
      </c>
      <c r="AA17" s="601">
        <f t="shared" ref="AA17:AB17" si="15">ROUND(Z17*(1+$AF17),0)</f>
        <v>0</v>
      </c>
      <c r="AB17" s="601">
        <f t="shared" si="15"/>
        <v>0</v>
      </c>
      <c r="AD17" s="82"/>
      <c r="AE17" s="798" t="str">
        <f t="shared" si="3"/>
        <v/>
      </c>
      <c r="AF17" s="59">
        <v>0.02</v>
      </c>
    </row>
    <row r="18" spans="2:32">
      <c r="B18" s="81" t="s">
        <v>367</v>
      </c>
      <c r="C18" s="356">
        <v>0</v>
      </c>
      <c r="D18" s="356">
        <v>0</v>
      </c>
      <c r="E18" s="356">
        <v>0</v>
      </c>
      <c r="F18" s="356">
        <v>0</v>
      </c>
      <c r="G18" s="356">
        <v>0</v>
      </c>
      <c r="H18" s="356">
        <v>0</v>
      </c>
      <c r="I18" s="356">
        <v>0</v>
      </c>
      <c r="J18" s="356">
        <v>0</v>
      </c>
      <c r="K18" s="356">
        <v>0</v>
      </c>
      <c r="L18" s="356">
        <v>0</v>
      </c>
      <c r="M18" s="356">
        <v>0</v>
      </c>
      <c r="N18" s="356">
        <v>80000</v>
      </c>
      <c r="O18" s="356">
        <v>80000</v>
      </c>
      <c r="P18" s="356">
        <v>80000</v>
      </c>
      <c r="Q18" s="356">
        <v>80000</v>
      </c>
      <c r="R18" s="601">
        <v>75000</v>
      </c>
      <c r="S18" s="601">
        <v>80000</v>
      </c>
      <c r="T18" s="601">
        <v>80000</v>
      </c>
      <c r="U18" s="601">
        <f>ROUND(T18*(1+$AF18),0)</f>
        <v>81600</v>
      </c>
      <c r="V18" s="601">
        <f>ROUND(U18*(1+$AF18),0)</f>
        <v>83232</v>
      </c>
      <c r="W18" s="601">
        <f>100000</f>
        <v>100000</v>
      </c>
      <c r="X18" s="601">
        <v>126505</v>
      </c>
      <c r="Y18" s="601">
        <f t="shared" si="0"/>
        <v>129035</v>
      </c>
      <c r="Z18" s="601">
        <f t="shared" si="0"/>
        <v>131616</v>
      </c>
      <c r="AA18" s="601">
        <f t="shared" ref="AA18:AB18" si="16">ROUND(Z18*(1+$AF18),0)</f>
        <v>134248</v>
      </c>
      <c r="AB18" s="601">
        <f t="shared" si="16"/>
        <v>136933</v>
      </c>
      <c r="AD18" s="82"/>
      <c r="AE18" s="798" t="str">
        <f t="shared" si="3"/>
        <v/>
      </c>
      <c r="AF18" s="59">
        <v>0.02</v>
      </c>
    </row>
    <row r="19" spans="2:32">
      <c r="B19" s="81" t="s">
        <v>368</v>
      </c>
      <c r="C19" s="356">
        <v>60000</v>
      </c>
      <c r="D19" s="356">
        <v>0</v>
      </c>
      <c r="E19" s="356">
        <v>0</v>
      </c>
      <c r="F19" s="356">
        <v>0</v>
      </c>
      <c r="G19" s="356">
        <v>0</v>
      </c>
      <c r="H19" s="356">
        <v>0</v>
      </c>
      <c r="I19" s="356">
        <v>0</v>
      </c>
      <c r="J19" s="356">
        <v>0</v>
      </c>
      <c r="K19" s="356">
        <v>0</v>
      </c>
      <c r="L19" s="356">
        <v>0</v>
      </c>
      <c r="M19" s="356">
        <v>0</v>
      </c>
      <c r="N19" s="356">
        <v>45000</v>
      </c>
      <c r="O19" s="356">
        <v>30000</v>
      </c>
      <c r="P19" s="356">
        <v>30000</v>
      </c>
      <c r="Q19" s="356">
        <v>30000</v>
      </c>
      <c r="R19" s="601">
        <v>30000</v>
      </c>
      <c r="S19" s="601">
        <v>30000</v>
      </c>
      <c r="T19" s="601">
        <v>30000</v>
      </c>
      <c r="U19" s="601">
        <v>50000</v>
      </c>
      <c r="V19" s="601">
        <f>ROUND(U19*(1+$AF19),0)</f>
        <v>51000</v>
      </c>
      <c r="W19" s="601">
        <v>25000</v>
      </c>
      <c r="X19" s="601">
        <f>25000</f>
        <v>25000</v>
      </c>
      <c r="Y19" s="601">
        <f t="shared" si="0"/>
        <v>25500</v>
      </c>
      <c r="Z19" s="601">
        <f t="shared" si="0"/>
        <v>26010</v>
      </c>
      <c r="AA19" s="601">
        <f t="shared" ref="AA19:AB19" si="17">ROUND(Z19*(1+$AF19),0)</f>
        <v>26530</v>
      </c>
      <c r="AB19" s="601">
        <f t="shared" si="17"/>
        <v>27061</v>
      </c>
      <c r="AD19" s="82"/>
      <c r="AE19" s="798" t="str">
        <f t="shared" si="3"/>
        <v/>
      </c>
      <c r="AF19" s="59">
        <v>0.02</v>
      </c>
    </row>
    <row r="20" spans="2:32">
      <c r="B20" s="81" t="s">
        <v>369</v>
      </c>
      <c r="C20" s="356">
        <v>0</v>
      </c>
      <c r="D20" s="356">
        <v>0</v>
      </c>
      <c r="E20" s="356">
        <v>0</v>
      </c>
      <c r="F20" s="356">
        <v>0</v>
      </c>
      <c r="G20" s="356">
        <v>0</v>
      </c>
      <c r="H20" s="356">
        <v>0</v>
      </c>
      <c r="I20" s="356">
        <v>0</v>
      </c>
      <c r="J20" s="356">
        <v>0</v>
      </c>
      <c r="K20" s="356">
        <v>0</v>
      </c>
      <c r="L20" s="356">
        <v>0</v>
      </c>
      <c r="M20" s="356">
        <v>0</v>
      </c>
      <c r="N20" s="356">
        <v>0</v>
      </c>
      <c r="O20" s="356">
        <v>0</v>
      </c>
      <c r="P20" s="356">
        <v>0</v>
      </c>
      <c r="Q20" s="356">
        <v>0</v>
      </c>
      <c r="R20" s="601">
        <v>0</v>
      </c>
      <c r="S20" s="601">
        <f>ROUND(R20*(1+$AF20),0)</f>
        <v>0</v>
      </c>
      <c r="T20" s="601">
        <f>ROUND(S20*(1+$AF20),0)</f>
        <v>0</v>
      </c>
      <c r="U20" s="601">
        <f>ROUND(T20*(1+$AF20),0)</f>
        <v>0</v>
      </c>
      <c r="V20" s="601">
        <f>ROUND(U20*(1+$AF20),0)</f>
        <v>0</v>
      </c>
      <c r="W20" s="601">
        <f>ROUND(V20*(1+$AF20),0)</f>
        <v>0</v>
      </c>
      <c r="X20" s="601">
        <f t="shared" si="6"/>
        <v>0</v>
      </c>
      <c r="Y20" s="601">
        <f t="shared" si="0"/>
        <v>0</v>
      </c>
      <c r="Z20" s="601">
        <f t="shared" si="0"/>
        <v>0</v>
      </c>
      <c r="AA20" s="601">
        <f t="shared" ref="AA20:AB20" si="18">ROUND(Z20*(1+$AF20),0)</f>
        <v>0</v>
      </c>
      <c r="AB20" s="601">
        <f t="shared" si="18"/>
        <v>0</v>
      </c>
      <c r="AD20" s="82"/>
      <c r="AE20" s="798" t="str">
        <f t="shared" si="3"/>
        <v/>
      </c>
      <c r="AF20" s="59">
        <v>0.02</v>
      </c>
    </row>
    <row r="21" spans="2:32">
      <c r="B21" s="81" t="s">
        <v>370</v>
      </c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601">
        <v>0</v>
      </c>
      <c r="S21" s="601"/>
      <c r="T21" s="601"/>
      <c r="U21" s="601"/>
      <c r="V21" s="601"/>
      <c r="W21" s="601"/>
      <c r="X21" s="601">
        <f t="shared" si="6"/>
        <v>0</v>
      </c>
      <c r="Y21" s="601"/>
      <c r="Z21" s="601"/>
      <c r="AA21" s="601"/>
      <c r="AB21" s="601"/>
      <c r="AD21" s="82"/>
      <c r="AE21" s="798" t="str">
        <f t="shared" si="3"/>
        <v/>
      </c>
      <c r="AF21" s="59">
        <v>0.02</v>
      </c>
    </row>
    <row r="22" spans="2:32">
      <c r="B22" s="81" t="s">
        <v>371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89989</v>
      </c>
      <c r="O22" s="356">
        <v>106831</v>
      </c>
      <c r="P22" s="356">
        <v>124157</v>
      </c>
      <c r="Q22" s="356">
        <v>141978</v>
      </c>
      <c r="R22" s="601">
        <v>152181</v>
      </c>
      <c r="S22" s="601">
        <v>152181</v>
      </c>
      <c r="T22" s="601">
        <v>158970</v>
      </c>
      <c r="U22" s="601">
        <f t="shared" ref="U22:V27" si="19">ROUND(T22*(1+$AF22),0)</f>
        <v>160560</v>
      </c>
      <c r="V22" s="601">
        <f t="shared" si="19"/>
        <v>162166</v>
      </c>
      <c r="W22" s="601">
        <f>V22*1.02</f>
        <v>165409.32</v>
      </c>
      <c r="X22" s="601">
        <f t="shared" si="6"/>
        <v>0</v>
      </c>
      <c r="Y22" s="601">
        <f t="shared" ref="X22:Z34" si="20">ROUND(X22*(1+$AF22),0)</f>
        <v>0</v>
      </c>
      <c r="Z22" s="601">
        <f t="shared" si="20"/>
        <v>0</v>
      </c>
      <c r="AA22" s="601">
        <f t="shared" ref="AA22:AB22" si="21">ROUND(Z22*(1+$AF22),0)</f>
        <v>0</v>
      </c>
      <c r="AB22" s="601">
        <f t="shared" si="21"/>
        <v>0</v>
      </c>
      <c r="AD22" s="82"/>
      <c r="AE22" s="798" t="str">
        <f t="shared" si="3"/>
        <v/>
      </c>
      <c r="AF22" s="59">
        <v>0.01</v>
      </c>
    </row>
    <row r="23" spans="2:32">
      <c r="B23" s="81" t="s">
        <v>372</v>
      </c>
      <c r="C23" s="356">
        <v>0</v>
      </c>
      <c r="D23" s="356">
        <v>0</v>
      </c>
      <c r="E23" s="356">
        <v>0</v>
      </c>
      <c r="F23" s="356">
        <v>0</v>
      </c>
      <c r="G23" s="356">
        <v>0</v>
      </c>
      <c r="H23" s="356">
        <v>0</v>
      </c>
      <c r="I23" s="356">
        <v>0</v>
      </c>
      <c r="J23" s="356">
        <v>0</v>
      </c>
      <c r="K23" s="356">
        <v>0</v>
      </c>
      <c r="L23" s="356">
        <v>0</v>
      </c>
      <c r="M23" s="356">
        <v>0</v>
      </c>
      <c r="N23" s="356">
        <v>0</v>
      </c>
      <c r="O23" s="356">
        <v>0</v>
      </c>
      <c r="P23" s="356">
        <v>0</v>
      </c>
      <c r="Q23" s="356">
        <v>0</v>
      </c>
      <c r="R23" s="601">
        <v>0</v>
      </c>
      <c r="S23" s="601">
        <f t="shared" ref="S23:T27" si="22">ROUND(R23*(1+$AF23),0)</f>
        <v>0</v>
      </c>
      <c r="T23" s="601">
        <f t="shared" si="22"/>
        <v>0</v>
      </c>
      <c r="U23" s="601">
        <f t="shared" si="19"/>
        <v>0</v>
      </c>
      <c r="V23" s="601">
        <f t="shared" si="19"/>
        <v>0</v>
      </c>
      <c r="W23" s="601">
        <f>ROUND(V23*(1+$AF23),0)</f>
        <v>0</v>
      </c>
      <c r="X23" s="601">
        <f t="shared" si="6"/>
        <v>0</v>
      </c>
      <c r="Y23" s="601">
        <f t="shared" si="20"/>
        <v>0</v>
      </c>
      <c r="Z23" s="601">
        <f t="shared" si="20"/>
        <v>0</v>
      </c>
      <c r="AA23" s="601">
        <f t="shared" ref="AA23:AB23" si="23">ROUND(Z23*(1+$AF23),0)</f>
        <v>0</v>
      </c>
      <c r="AB23" s="601">
        <f t="shared" si="23"/>
        <v>0</v>
      </c>
      <c r="AD23" s="82"/>
      <c r="AE23" s="798" t="str">
        <f t="shared" si="3"/>
        <v/>
      </c>
      <c r="AF23" s="59">
        <v>0.02</v>
      </c>
    </row>
    <row r="24" spans="2:32">
      <c r="B24" s="81" t="s">
        <v>373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356">
        <v>0</v>
      </c>
      <c r="R24" s="601">
        <v>0</v>
      </c>
      <c r="S24" s="601">
        <f t="shared" si="22"/>
        <v>0</v>
      </c>
      <c r="T24" s="601">
        <f t="shared" si="22"/>
        <v>0</v>
      </c>
      <c r="U24" s="601">
        <f t="shared" si="19"/>
        <v>0</v>
      </c>
      <c r="V24" s="601">
        <f t="shared" si="19"/>
        <v>0</v>
      </c>
      <c r="W24" s="601">
        <f>ROUND(V24*(1+$AF24),0)</f>
        <v>0</v>
      </c>
      <c r="X24" s="601">
        <f t="shared" si="6"/>
        <v>0</v>
      </c>
      <c r="Y24" s="601">
        <f t="shared" si="20"/>
        <v>0</v>
      </c>
      <c r="Z24" s="601">
        <f t="shared" si="20"/>
        <v>0</v>
      </c>
      <c r="AA24" s="601">
        <f t="shared" ref="AA24:AB24" si="24">ROUND(Z24*(1+$AF24),0)</f>
        <v>0</v>
      </c>
      <c r="AB24" s="601">
        <f t="shared" si="24"/>
        <v>0</v>
      </c>
      <c r="AD24" s="82"/>
      <c r="AE24" s="798" t="str">
        <f t="shared" si="3"/>
        <v/>
      </c>
      <c r="AF24" s="59">
        <v>0.02</v>
      </c>
    </row>
    <row r="25" spans="2:32">
      <c r="B25" s="81" t="s">
        <v>374</v>
      </c>
      <c r="C25" s="356">
        <v>0</v>
      </c>
      <c r="D25" s="356">
        <v>0</v>
      </c>
      <c r="E25" s="356">
        <v>0</v>
      </c>
      <c r="F25" s="356">
        <v>0</v>
      </c>
      <c r="G25" s="356">
        <v>0</v>
      </c>
      <c r="H25" s="356">
        <v>0</v>
      </c>
      <c r="I25" s="356">
        <v>0</v>
      </c>
      <c r="J25" s="356">
        <v>0</v>
      </c>
      <c r="K25" s="356">
        <v>0</v>
      </c>
      <c r="L25" s="356">
        <v>0</v>
      </c>
      <c r="M25" s="356">
        <v>0</v>
      </c>
      <c r="N25" s="356">
        <v>0</v>
      </c>
      <c r="O25" s="356">
        <v>0</v>
      </c>
      <c r="P25" s="356">
        <v>0</v>
      </c>
      <c r="Q25" s="356">
        <v>0</v>
      </c>
      <c r="R25" s="601">
        <v>0</v>
      </c>
      <c r="S25" s="601">
        <f t="shared" si="22"/>
        <v>0</v>
      </c>
      <c r="T25" s="601">
        <f t="shared" si="22"/>
        <v>0</v>
      </c>
      <c r="U25" s="601">
        <f t="shared" si="19"/>
        <v>0</v>
      </c>
      <c r="V25" s="601">
        <f t="shared" si="19"/>
        <v>0</v>
      </c>
      <c r="W25" s="601">
        <f>ROUND(V25*(1+$AF25),0)</f>
        <v>0</v>
      </c>
      <c r="X25" s="601">
        <f t="shared" si="6"/>
        <v>0</v>
      </c>
      <c r="Y25" s="601">
        <f t="shared" si="20"/>
        <v>0</v>
      </c>
      <c r="Z25" s="601">
        <f t="shared" si="20"/>
        <v>0</v>
      </c>
      <c r="AA25" s="601">
        <f t="shared" ref="AA25:AB25" si="25">ROUND(Z25*(1+$AF25),0)</f>
        <v>0</v>
      </c>
      <c r="AB25" s="601">
        <f t="shared" si="25"/>
        <v>0</v>
      </c>
      <c r="AD25" s="82"/>
      <c r="AE25" s="798" t="str">
        <f t="shared" si="3"/>
        <v/>
      </c>
      <c r="AF25" s="59">
        <v>0.02</v>
      </c>
    </row>
    <row r="26" spans="2:32">
      <c r="B26" s="81" t="s">
        <v>375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356">
        <v>0</v>
      </c>
      <c r="R26" s="601">
        <v>0</v>
      </c>
      <c r="S26" s="601">
        <f t="shared" si="22"/>
        <v>0</v>
      </c>
      <c r="T26" s="601">
        <f t="shared" si="22"/>
        <v>0</v>
      </c>
      <c r="U26" s="601">
        <f t="shared" si="19"/>
        <v>0</v>
      </c>
      <c r="V26" s="601">
        <f t="shared" si="19"/>
        <v>0</v>
      </c>
      <c r="W26" s="601">
        <f>ROUND(V26*(1+$AF26),0)</f>
        <v>0</v>
      </c>
      <c r="X26" s="601">
        <f t="shared" si="6"/>
        <v>0</v>
      </c>
      <c r="Y26" s="601">
        <f t="shared" si="20"/>
        <v>0</v>
      </c>
      <c r="Z26" s="601">
        <f t="shared" si="20"/>
        <v>0</v>
      </c>
      <c r="AA26" s="601">
        <f t="shared" ref="AA26:AB26" si="26">ROUND(Z26*(1+$AF26),0)</f>
        <v>0</v>
      </c>
      <c r="AB26" s="601">
        <f t="shared" si="26"/>
        <v>0</v>
      </c>
      <c r="AD26" s="82"/>
      <c r="AE26" s="798" t="str">
        <f t="shared" si="3"/>
        <v/>
      </c>
      <c r="AF26" s="59">
        <v>0.02</v>
      </c>
    </row>
    <row r="27" spans="2:32">
      <c r="B27" s="81" t="s">
        <v>376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6">
        <v>0</v>
      </c>
      <c r="J27" s="356">
        <v>0</v>
      </c>
      <c r="K27" s="356">
        <v>0</v>
      </c>
      <c r="L27" s="356">
        <v>0</v>
      </c>
      <c r="M27" s="356">
        <v>0</v>
      </c>
      <c r="N27" s="356">
        <v>0</v>
      </c>
      <c r="O27" s="356">
        <v>0</v>
      </c>
      <c r="P27" s="356">
        <v>0</v>
      </c>
      <c r="Q27" s="356">
        <v>0</v>
      </c>
      <c r="R27" s="601">
        <v>0</v>
      </c>
      <c r="S27" s="601">
        <f t="shared" si="22"/>
        <v>0</v>
      </c>
      <c r="T27" s="601">
        <f t="shared" si="22"/>
        <v>0</v>
      </c>
      <c r="U27" s="601">
        <f t="shared" si="19"/>
        <v>0</v>
      </c>
      <c r="V27" s="601">
        <f t="shared" si="19"/>
        <v>0</v>
      </c>
      <c r="W27" s="601">
        <f>ROUND(V27*(1+$AF27),0)</f>
        <v>0</v>
      </c>
      <c r="X27" s="601">
        <f t="shared" si="6"/>
        <v>0</v>
      </c>
      <c r="Y27" s="601">
        <f t="shared" si="20"/>
        <v>0</v>
      </c>
      <c r="Z27" s="601">
        <f t="shared" si="20"/>
        <v>0</v>
      </c>
      <c r="AA27" s="601">
        <f t="shared" ref="AA27:AB27" si="27">ROUND(Z27*(1+$AF27),0)</f>
        <v>0</v>
      </c>
      <c r="AB27" s="601">
        <f t="shared" si="27"/>
        <v>0</v>
      </c>
      <c r="AD27" s="82"/>
      <c r="AE27" s="798" t="str">
        <f t="shared" si="3"/>
        <v/>
      </c>
      <c r="AF27" s="59">
        <v>0.02</v>
      </c>
    </row>
    <row r="28" spans="2:32">
      <c r="B28" s="81" t="s">
        <v>377</v>
      </c>
      <c r="C28" s="356">
        <v>75000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95000</v>
      </c>
      <c r="O28" s="356">
        <v>95000</v>
      </c>
      <c r="P28" s="356">
        <v>95000</v>
      </c>
      <c r="Q28" s="356">
        <v>95000</v>
      </c>
      <c r="R28" s="601">
        <v>95000</v>
      </c>
      <c r="S28" s="601">
        <v>95000</v>
      </c>
      <c r="T28" s="601">
        <v>95000</v>
      </c>
      <c r="U28" s="601">
        <v>125000</v>
      </c>
      <c r="V28" s="601">
        <f t="shared" ref="V28:V34" si="28">ROUND(U28*(1+$AF28),0)</f>
        <v>127500</v>
      </c>
      <c r="W28" s="601">
        <f>V28*1.02</f>
        <v>130050</v>
      </c>
      <c r="X28" s="601">
        <v>165430</v>
      </c>
      <c r="Y28" s="601">
        <f t="shared" si="20"/>
        <v>168739</v>
      </c>
      <c r="Z28" s="601">
        <f t="shared" si="20"/>
        <v>172114</v>
      </c>
      <c r="AA28" s="601">
        <f t="shared" ref="AA28:AB28" si="29">ROUND(Z28*(1+$AF28),0)</f>
        <v>175556</v>
      </c>
      <c r="AB28" s="601">
        <f t="shared" si="29"/>
        <v>179067</v>
      </c>
      <c r="AD28" s="82"/>
      <c r="AE28" s="798" t="str">
        <f t="shared" si="3"/>
        <v/>
      </c>
      <c r="AF28" s="59">
        <v>0.02</v>
      </c>
    </row>
    <row r="29" spans="2:32">
      <c r="B29" s="81" t="s">
        <v>378</v>
      </c>
      <c r="C29" s="356">
        <v>0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6">
        <v>0</v>
      </c>
      <c r="J29" s="356">
        <v>0</v>
      </c>
      <c r="K29" s="356">
        <v>0</v>
      </c>
      <c r="L29" s="356">
        <v>0</v>
      </c>
      <c r="M29" s="356">
        <v>0</v>
      </c>
      <c r="N29" s="356">
        <v>0</v>
      </c>
      <c r="O29" s="356">
        <v>0</v>
      </c>
      <c r="P29" s="356">
        <v>0</v>
      </c>
      <c r="Q29" s="356">
        <v>0</v>
      </c>
      <c r="R29" s="601">
        <v>0</v>
      </c>
      <c r="S29" s="601">
        <f>ROUND(R29*(1+$AF29),0)</f>
        <v>0</v>
      </c>
      <c r="T29" s="601">
        <f>ROUND(S29*(1+$AF29),0)</f>
        <v>0</v>
      </c>
      <c r="U29" s="601">
        <f>ROUND(T29*(1+$AF29),0)</f>
        <v>0</v>
      </c>
      <c r="V29" s="601">
        <f t="shared" si="28"/>
        <v>0</v>
      </c>
      <c r="W29" s="601">
        <f>ROUND(V29*(1+$AF29),0)</f>
        <v>0</v>
      </c>
      <c r="X29" s="601">
        <f t="shared" si="6"/>
        <v>0</v>
      </c>
      <c r="Y29" s="601">
        <f t="shared" si="20"/>
        <v>0</v>
      </c>
      <c r="Z29" s="601">
        <f t="shared" si="20"/>
        <v>0</v>
      </c>
      <c r="AA29" s="601">
        <f t="shared" ref="AA29:AB29" si="30">ROUND(Z29*(1+$AF29),0)</f>
        <v>0</v>
      </c>
      <c r="AB29" s="601">
        <f t="shared" si="30"/>
        <v>0</v>
      </c>
      <c r="AD29" s="82"/>
      <c r="AE29" s="798" t="str">
        <f t="shared" si="3"/>
        <v/>
      </c>
      <c r="AF29" s="59">
        <v>0.02</v>
      </c>
    </row>
    <row r="30" spans="2:32">
      <c r="B30" s="81" t="s">
        <v>379</v>
      </c>
      <c r="C30" s="356">
        <v>60000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10605</v>
      </c>
      <c r="O30" s="356">
        <v>10605</v>
      </c>
      <c r="P30" s="356">
        <v>10605</v>
      </c>
      <c r="Q30" s="356">
        <v>10604</v>
      </c>
      <c r="R30" s="601">
        <v>10604</v>
      </c>
      <c r="S30" s="601">
        <v>10702</v>
      </c>
      <c r="T30" s="601">
        <v>10750</v>
      </c>
      <c r="U30" s="601">
        <f>ROUND(T30*(1+$AF30),0)</f>
        <v>10965</v>
      </c>
      <c r="V30" s="601">
        <f t="shared" si="28"/>
        <v>11184</v>
      </c>
      <c r="W30" s="601">
        <f>V30*1.02</f>
        <v>11407.68</v>
      </c>
      <c r="X30" s="601">
        <v>20000</v>
      </c>
      <c r="Y30" s="601">
        <f t="shared" si="20"/>
        <v>20400</v>
      </c>
      <c r="Z30" s="601">
        <f t="shared" si="20"/>
        <v>20808</v>
      </c>
      <c r="AA30" s="601">
        <f t="shared" ref="AA30:AB30" si="31">ROUND(Z30*(1+$AF30),0)</f>
        <v>21224</v>
      </c>
      <c r="AB30" s="601">
        <f t="shared" si="31"/>
        <v>21648</v>
      </c>
      <c r="AD30" s="82"/>
      <c r="AE30" s="798" t="str">
        <f t="shared" si="3"/>
        <v/>
      </c>
      <c r="AF30" s="59">
        <v>0.02</v>
      </c>
    </row>
    <row r="31" spans="2:32">
      <c r="B31" s="81" t="s">
        <v>380</v>
      </c>
      <c r="C31" s="356">
        <v>45000</v>
      </c>
      <c r="D31" s="356">
        <v>0</v>
      </c>
      <c r="E31" s="356">
        <v>0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356">
        <v>0</v>
      </c>
      <c r="L31" s="356">
        <v>0</v>
      </c>
      <c r="M31" s="356">
        <v>0</v>
      </c>
      <c r="N31" s="356">
        <v>8000</v>
      </c>
      <c r="O31" s="356">
        <v>8000</v>
      </c>
      <c r="P31" s="356">
        <v>8000</v>
      </c>
      <c r="Q31" s="356">
        <v>20386</v>
      </c>
      <c r="R31" s="601">
        <v>10386</v>
      </c>
      <c r="S31" s="601">
        <v>20386</v>
      </c>
      <c r="T31" s="601">
        <v>8000</v>
      </c>
      <c r="U31" s="601">
        <v>10000</v>
      </c>
      <c r="V31" s="601">
        <f t="shared" si="28"/>
        <v>10200</v>
      </c>
      <c r="W31" s="601">
        <v>100000</v>
      </c>
      <c r="X31" s="601">
        <f>V64*0.6</f>
        <v>181500.6</v>
      </c>
      <c r="Y31" s="601">
        <f t="shared" si="20"/>
        <v>185131</v>
      </c>
      <c r="Z31" s="601">
        <f t="shared" si="20"/>
        <v>188834</v>
      </c>
      <c r="AA31" s="601">
        <f t="shared" ref="AA31:AB31" si="32">ROUND(Z31*(1+$AF31),0)</f>
        <v>192611</v>
      </c>
      <c r="AB31" s="601">
        <f t="shared" si="32"/>
        <v>196463</v>
      </c>
      <c r="AD31" s="82"/>
      <c r="AE31" s="798" t="str">
        <f t="shared" si="3"/>
        <v/>
      </c>
      <c r="AF31" s="59">
        <v>0.02</v>
      </c>
    </row>
    <row r="32" spans="2:32">
      <c r="B32" s="81" t="s">
        <v>381</v>
      </c>
      <c r="C32" s="356">
        <v>0</v>
      </c>
      <c r="D32" s="356">
        <v>0</v>
      </c>
      <c r="E32" s="356">
        <v>0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356">
        <v>0</v>
      </c>
      <c r="L32" s="356">
        <v>0</v>
      </c>
      <c r="M32" s="356">
        <v>0</v>
      </c>
      <c r="N32" s="356">
        <v>0</v>
      </c>
      <c r="O32" s="356">
        <v>0</v>
      </c>
      <c r="P32" s="356">
        <v>0</v>
      </c>
      <c r="Q32" s="356">
        <v>0</v>
      </c>
      <c r="R32" s="601">
        <v>0</v>
      </c>
      <c r="S32" s="601">
        <f t="shared" ref="S32:U34" si="33">ROUND(R32*(1+$AF32),0)</f>
        <v>0</v>
      </c>
      <c r="T32" s="601">
        <f t="shared" si="33"/>
        <v>0</v>
      </c>
      <c r="U32" s="601">
        <f t="shared" si="33"/>
        <v>0</v>
      </c>
      <c r="V32" s="601">
        <f t="shared" si="28"/>
        <v>0</v>
      </c>
      <c r="W32" s="601">
        <f>ROUND(V32*(1+$AF32),0)</f>
        <v>0</v>
      </c>
      <c r="X32" s="601">
        <f t="shared" si="20"/>
        <v>0</v>
      </c>
      <c r="Y32" s="601">
        <f t="shared" si="20"/>
        <v>0</v>
      </c>
      <c r="Z32" s="601">
        <f t="shared" si="20"/>
        <v>0</v>
      </c>
      <c r="AA32" s="601">
        <f t="shared" ref="AA32:AB32" si="34">ROUND(Z32*(1+$AF32),0)</f>
        <v>0</v>
      </c>
      <c r="AB32" s="601">
        <f t="shared" si="34"/>
        <v>0</v>
      </c>
      <c r="AD32" s="82"/>
      <c r="AE32" s="798" t="str">
        <f t="shared" si="3"/>
        <v/>
      </c>
      <c r="AF32" s="59">
        <v>0.02</v>
      </c>
    </row>
    <row r="33" spans="1:33">
      <c r="B33" s="81" t="s">
        <v>382</v>
      </c>
      <c r="C33" s="356">
        <v>0</v>
      </c>
      <c r="D33" s="356">
        <v>0</v>
      </c>
      <c r="E33" s="356">
        <v>0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356">
        <v>0</v>
      </c>
      <c r="L33" s="356">
        <v>0</v>
      </c>
      <c r="M33" s="356">
        <v>0</v>
      </c>
      <c r="N33" s="356">
        <v>0</v>
      </c>
      <c r="O33" s="356">
        <v>0</v>
      </c>
      <c r="P33" s="356">
        <v>0</v>
      </c>
      <c r="Q33" s="356">
        <v>0</v>
      </c>
      <c r="R33" s="601">
        <v>0</v>
      </c>
      <c r="S33" s="601">
        <f t="shared" si="33"/>
        <v>0</v>
      </c>
      <c r="T33" s="601">
        <f t="shared" si="33"/>
        <v>0</v>
      </c>
      <c r="U33" s="601">
        <f t="shared" si="33"/>
        <v>0</v>
      </c>
      <c r="V33" s="601">
        <f t="shared" si="28"/>
        <v>0</v>
      </c>
      <c r="W33" s="601">
        <f>ROUND(V33*(1+$AF33),0)</f>
        <v>0</v>
      </c>
      <c r="X33" s="601">
        <f t="shared" si="20"/>
        <v>0</v>
      </c>
      <c r="Y33" s="601">
        <f t="shared" si="20"/>
        <v>0</v>
      </c>
      <c r="Z33" s="601">
        <f t="shared" si="20"/>
        <v>0</v>
      </c>
      <c r="AA33" s="601">
        <f t="shared" ref="AA33:AB33" si="35">ROUND(Z33*(1+$AF33),0)</f>
        <v>0</v>
      </c>
      <c r="AB33" s="601">
        <f t="shared" si="35"/>
        <v>0</v>
      </c>
      <c r="AD33" s="82"/>
      <c r="AE33" s="798" t="str">
        <f t="shared" si="3"/>
        <v/>
      </c>
      <c r="AF33" s="59">
        <v>0.02</v>
      </c>
    </row>
    <row r="34" spans="1:33">
      <c r="B34" s="81" t="s">
        <v>383</v>
      </c>
      <c r="C34" s="356">
        <v>0</v>
      </c>
      <c r="D34" s="356">
        <v>0</v>
      </c>
      <c r="E34" s="356">
        <v>0</v>
      </c>
      <c r="F34" s="356">
        <v>0</v>
      </c>
      <c r="G34" s="356">
        <v>0</v>
      </c>
      <c r="H34" s="356">
        <v>0</v>
      </c>
      <c r="I34" s="356">
        <v>0</v>
      </c>
      <c r="J34" s="356">
        <v>0</v>
      </c>
      <c r="K34" s="356">
        <v>0</v>
      </c>
      <c r="L34" s="356">
        <v>0</v>
      </c>
      <c r="M34" s="356">
        <v>0</v>
      </c>
      <c r="N34" s="356">
        <v>0</v>
      </c>
      <c r="O34" s="356">
        <v>0</v>
      </c>
      <c r="P34" s="356">
        <v>0</v>
      </c>
      <c r="Q34" s="356">
        <v>0</v>
      </c>
      <c r="R34" s="601">
        <v>0</v>
      </c>
      <c r="S34" s="601">
        <f t="shared" si="33"/>
        <v>0</v>
      </c>
      <c r="T34" s="601">
        <f t="shared" si="33"/>
        <v>0</v>
      </c>
      <c r="U34" s="601">
        <f t="shared" si="33"/>
        <v>0</v>
      </c>
      <c r="V34" s="601">
        <f t="shared" si="28"/>
        <v>0</v>
      </c>
      <c r="W34" s="601">
        <f>ROUND(V34*(1+$AF34),0)</f>
        <v>0</v>
      </c>
      <c r="X34" s="601">
        <f t="shared" si="20"/>
        <v>0</v>
      </c>
      <c r="Y34" s="601">
        <f t="shared" si="20"/>
        <v>0</v>
      </c>
      <c r="Z34" s="601">
        <f t="shared" si="20"/>
        <v>0</v>
      </c>
      <c r="AA34" s="601">
        <f t="shared" ref="AA34:AB34" si="36">ROUND(Z34*(1+$AF34),0)</f>
        <v>0</v>
      </c>
      <c r="AB34" s="601">
        <f t="shared" si="36"/>
        <v>0</v>
      </c>
      <c r="AD34" s="82"/>
      <c r="AE34" s="798" t="str">
        <f t="shared" si="3"/>
        <v/>
      </c>
      <c r="AF34" s="59">
        <v>0.02</v>
      </c>
    </row>
    <row r="35" spans="1:33" s="32" customFormat="1" ht="12">
      <c r="A35" s="383" t="s">
        <v>142</v>
      </c>
      <c r="B35" s="473" t="s">
        <v>384</v>
      </c>
      <c r="C35" s="618">
        <f>SUM(C7:C34)</f>
        <v>974000</v>
      </c>
      <c r="D35" s="618">
        <f t="shared" ref="D35:S35" si="37">SUM(D7:D34)</f>
        <v>0</v>
      </c>
      <c r="E35" s="618">
        <f t="shared" si="37"/>
        <v>0</v>
      </c>
      <c r="F35" s="618">
        <f t="shared" si="37"/>
        <v>0</v>
      </c>
      <c r="G35" s="618">
        <f t="shared" si="37"/>
        <v>0</v>
      </c>
      <c r="H35" s="618">
        <f t="shared" si="37"/>
        <v>0</v>
      </c>
      <c r="I35" s="619">
        <f t="shared" si="37"/>
        <v>0</v>
      </c>
      <c r="J35" s="619">
        <f t="shared" si="37"/>
        <v>0</v>
      </c>
      <c r="K35" s="619">
        <f t="shared" si="37"/>
        <v>0</v>
      </c>
      <c r="L35" s="619">
        <f t="shared" si="37"/>
        <v>0</v>
      </c>
      <c r="M35" s="619">
        <f t="shared" si="37"/>
        <v>0</v>
      </c>
      <c r="N35" s="619">
        <f t="shared" si="37"/>
        <v>1047594</v>
      </c>
      <c r="O35" s="619">
        <f t="shared" si="37"/>
        <v>1049436</v>
      </c>
      <c r="P35" s="619">
        <f t="shared" si="37"/>
        <v>1066762</v>
      </c>
      <c r="Q35" s="619">
        <f t="shared" si="37"/>
        <v>1173668</v>
      </c>
      <c r="R35" s="619">
        <f t="shared" si="37"/>
        <v>1163871</v>
      </c>
      <c r="S35" s="619">
        <f t="shared" si="37"/>
        <v>1228269</v>
      </c>
      <c r="T35" s="619">
        <f t="shared" ref="T35:U35" si="38">SUM(T7:T34)</f>
        <v>1342720</v>
      </c>
      <c r="U35" s="619">
        <f t="shared" si="38"/>
        <v>1373125</v>
      </c>
      <c r="V35" s="619">
        <f t="shared" ref="V35:W35" si="39">SUM(V7:V34)</f>
        <v>1415282</v>
      </c>
      <c r="W35" s="619">
        <f t="shared" si="39"/>
        <v>1600867</v>
      </c>
      <c r="X35" s="619">
        <f t="shared" ref="X35:Y35" si="40">SUM(X7:X34)</f>
        <v>1862232.6</v>
      </c>
      <c r="Y35" s="619">
        <f t="shared" si="40"/>
        <v>1899478</v>
      </c>
      <c r="Z35" s="619">
        <f t="shared" ref="Z35:AB35" si="41">SUM(Z7:Z34)</f>
        <v>1937468</v>
      </c>
      <c r="AA35" s="619">
        <f t="shared" si="41"/>
        <v>1976216</v>
      </c>
      <c r="AB35" s="619">
        <f t="shared" si="41"/>
        <v>2015740</v>
      </c>
      <c r="AE35" s="798" t="str">
        <f t="shared" si="3"/>
        <v/>
      </c>
      <c r="AF35" s="88"/>
    </row>
    <row r="36" spans="1:33" s="32" customFormat="1" ht="12">
      <c r="A36" s="383"/>
      <c r="B36" s="828" t="s">
        <v>385</v>
      </c>
      <c r="C36" s="829"/>
      <c r="D36" s="829">
        <f>IFERROR(D35/C68,"")</f>
        <v>0</v>
      </c>
      <c r="E36" s="829" t="str">
        <f t="shared" ref="E36:Z36" si="42">IFERROR(E35/D68,"")</f>
        <v/>
      </c>
      <c r="F36" s="829" t="str">
        <f t="shared" si="42"/>
        <v/>
      </c>
      <c r="G36" s="829" t="str">
        <f t="shared" si="42"/>
        <v/>
      </c>
      <c r="H36" s="829" t="str">
        <f t="shared" si="42"/>
        <v/>
      </c>
      <c r="I36" s="829" t="str">
        <f t="shared" si="42"/>
        <v/>
      </c>
      <c r="J36" s="829" t="str">
        <f t="shared" si="42"/>
        <v/>
      </c>
      <c r="K36" s="829" t="str">
        <f t="shared" si="42"/>
        <v/>
      </c>
      <c r="L36" s="829" t="str">
        <f t="shared" si="42"/>
        <v/>
      </c>
      <c r="M36" s="829" t="str">
        <f t="shared" si="42"/>
        <v/>
      </c>
      <c r="N36" s="829">
        <f t="shared" si="42"/>
        <v>0.73140428514044542</v>
      </c>
      <c r="O36" s="829">
        <f t="shared" si="42"/>
        <v>0.68068216724102348</v>
      </c>
      <c r="P36" s="829">
        <f t="shared" si="42"/>
        <v>0.60465569730315538</v>
      </c>
      <c r="Q36" s="829">
        <f t="shared" si="42"/>
        <v>0.67757990516971134</v>
      </c>
      <c r="R36" s="829">
        <f t="shared" si="42"/>
        <v>0.5436010273516737</v>
      </c>
      <c r="S36" s="829">
        <f t="shared" si="42"/>
        <v>0.70446687895458904</v>
      </c>
      <c r="T36" s="829">
        <f t="shared" si="42"/>
        <v>0.7348115183719407</v>
      </c>
      <c r="U36" s="829">
        <f t="shared" si="42"/>
        <v>0.70678614660959804</v>
      </c>
      <c r="V36" s="829">
        <f t="shared" si="42"/>
        <v>0.61358097538878187</v>
      </c>
      <c r="W36" s="829">
        <f t="shared" si="42"/>
        <v>0.68507441230185695</v>
      </c>
      <c r="X36" s="829" t="str">
        <f t="shared" si="42"/>
        <v/>
      </c>
      <c r="Y36" s="829" t="str">
        <f t="shared" si="42"/>
        <v/>
      </c>
      <c r="Z36" s="829" t="str">
        <f t="shared" si="42"/>
        <v/>
      </c>
      <c r="AA36" s="829" t="str">
        <f t="shared" ref="AA36" si="43">IFERROR(AA35/Z68,"")</f>
        <v/>
      </c>
      <c r="AB36" s="829" t="str">
        <f t="shared" ref="AB36" si="44">IFERROR(AB35/AA68,"")</f>
        <v/>
      </c>
      <c r="AE36" s="799"/>
      <c r="AF36" s="88"/>
    </row>
    <row r="37" spans="1:33">
      <c r="AD37" s="56"/>
      <c r="AF37" s="89"/>
      <c r="AG37" s="89"/>
    </row>
    <row r="38" spans="1:33" s="76" customFormat="1" ht="12">
      <c r="A38" s="216"/>
      <c r="B38" s="90"/>
      <c r="C38" s="79" t="s">
        <v>82</v>
      </c>
      <c r="D38" s="79" t="s">
        <v>83</v>
      </c>
      <c r="E38" s="79" t="s">
        <v>84</v>
      </c>
      <c r="F38" s="79" t="s">
        <v>85</v>
      </c>
      <c r="G38" s="79" t="s">
        <v>86</v>
      </c>
      <c r="H38" s="79" t="s">
        <v>87</v>
      </c>
      <c r="I38" s="175" t="s">
        <v>88</v>
      </c>
      <c r="J38" s="175" t="s">
        <v>89</v>
      </c>
      <c r="K38" s="175" t="s">
        <v>90</v>
      </c>
      <c r="L38" s="175" t="s">
        <v>91</v>
      </c>
      <c r="M38" s="78" t="s">
        <v>92</v>
      </c>
      <c r="N38" s="78" t="s">
        <v>93</v>
      </c>
      <c r="O38" s="78" t="s">
        <v>94</v>
      </c>
      <c r="P38" s="78" t="s">
        <v>95</v>
      </c>
      <c r="Q38" s="78" t="s">
        <v>96</v>
      </c>
      <c r="R38" s="78" t="s">
        <v>97</v>
      </c>
      <c r="S38" s="78" t="s">
        <v>98</v>
      </c>
      <c r="T38" s="78" t="s">
        <v>99</v>
      </c>
      <c r="U38" s="78" t="s">
        <v>100</v>
      </c>
      <c r="V38" s="78" t="s">
        <v>101</v>
      </c>
      <c r="W38" s="78" t="s">
        <v>102</v>
      </c>
      <c r="X38" s="78" t="s">
        <v>103</v>
      </c>
      <c r="Y38" s="78" t="s">
        <v>104</v>
      </c>
      <c r="Z38" s="78" t="s">
        <v>105</v>
      </c>
      <c r="AA38" s="78" t="s">
        <v>106</v>
      </c>
      <c r="AB38" s="78" t="s">
        <v>107</v>
      </c>
      <c r="AE38" s="260" t="s">
        <v>212</v>
      </c>
      <c r="AF38" s="89"/>
    </row>
    <row r="39" spans="1:33" s="7" customFormat="1" ht="12">
      <c r="A39" s="217"/>
      <c r="B39" s="723" t="s">
        <v>386</v>
      </c>
      <c r="C39" s="90" t="s">
        <v>387</v>
      </c>
      <c r="D39" s="90" t="s">
        <v>387</v>
      </c>
      <c r="E39" s="90" t="s">
        <v>387</v>
      </c>
      <c r="F39" s="90" t="s">
        <v>387</v>
      </c>
      <c r="G39" s="90" t="s">
        <v>387</v>
      </c>
      <c r="H39" s="90" t="s">
        <v>387</v>
      </c>
      <c r="I39" s="176" t="s">
        <v>387</v>
      </c>
      <c r="J39" s="176" t="s">
        <v>387</v>
      </c>
      <c r="K39" s="176" t="s">
        <v>387</v>
      </c>
      <c r="L39" s="176" t="s">
        <v>387</v>
      </c>
      <c r="M39" s="91" t="s">
        <v>387</v>
      </c>
      <c r="N39" s="91" t="s">
        <v>387</v>
      </c>
      <c r="O39" s="91" t="s">
        <v>387</v>
      </c>
      <c r="P39" s="91" t="s">
        <v>387</v>
      </c>
      <c r="Q39" s="91" t="s">
        <v>387</v>
      </c>
      <c r="R39" s="91" t="s">
        <v>387</v>
      </c>
      <c r="S39" s="91" t="s">
        <v>387</v>
      </c>
      <c r="T39" s="91" t="s">
        <v>387</v>
      </c>
      <c r="U39" s="91" t="s">
        <v>387</v>
      </c>
      <c r="V39" s="91" t="s">
        <v>387</v>
      </c>
      <c r="W39" s="91" t="s">
        <v>387</v>
      </c>
      <c r="X39" s="91" t="s">
        <v>387</v>
      </c>
      <c r="Y39" s="91" t="s">
        <v>387</v>
      </c>
      <c r="Z39" s="91" t="s">
        <v>387</v>
      </c>
      <c r="AA39" s="91" t="s">
        <v>387</v>
      </c>
      <c r="AB39" s="91" t="s">
        <v>387</v>
      </c>
      <c r="AE39" s="260" t="s">
        <v>213</v>
      </c>
      <c r="AF39" s="89"/>
    </row>
    <row r="40" spans="1:33">
      <c r="B40" s="81" t="s">
        <v>355</v>
      </c>
      <c r="C40" s="356">
        <v>783905</v>
      </c>
      <c r="D40" s="356">
        <v>0</v>
      </c>
      <c r="E40" s="356">
        <v>0</v>
      </c>
      <c r="F40" s="356">
        <v>0</v>
      </c>
      <c r="G40" s="356">
        <v>0</v>
      </c>
      <c r="H40" s="356">
        <v>0</v>
      </c>
      <c r="I40" s="356">
        <v>0</v>
      </c>
      <c r="J40" s="356">
        <v>0</v>
      </c>
      <c r="K40" s="356">
        <v>0</v>
      </c>
      <c r="L40" s="356">
        <v>0</v>
      </c>
      <c r="M40" s="356">
        <v>897683.67</v>
      </c>
      <c r="N40" s="356">
        <v>957339.05</v>
      </c>
      <c r="O40" s="356">
        <v>1096956</v>
      </c>
      <c r="P40" s="356">
        <v>1088768</v>
      </c>
      <c r="Q40" s="601">
        <v>1056010</v>
      </c>
      <c r="R40" s="601">
        <v>1080354</v>
      </c>
      <c r="S40" s="601">
        <v>1133076</v>
      </c>
      <c r="T40" s="966">
        <v>1181771.3</v>
      </c>
      <c r="U40" s="601">
        <v>1201749.79</v>
      </c>
      <c r="V40" s="601">
        <v>1296299</v>
      </c>
      <c r="W40" s="601"/>
      <c r="X40" s="601"/>
      <c r="Y40" s="601"/>
      <c r="Z40" s="601"/>
      <c r="AA40" s="601"/>
      <c r="AB40" s="601"/>
      <c r="AE40" s="798" t="str">
        <f t="shared" ref="AE40:AE68" si="45">IFERROR(AVERAGE((L40-K40)/K40,(M40-L40)/L40,(N40-M40)/M40,(O40-N40)/N40,(P40-O40)/O40,(Q40-P40)/P40),"")</f>
        <v/>
      </c>
    </row>
    <row r="41" spans="1:33">
      <c r="B41" s="84" t="s">
        <v>357</v>
      </c>
      <c r="C41" s="356">
        <v>0</v>
      </c>
      <c r="D41" s="356">
        <v>0</v>
      </c>
      <c r="E41" s="356">
        <v>0</v>
      </c>
      <c r="F41" s="356">
        <v>0</v>
      </c>
      <c r="G41" s="356">
        <v>0</v>
      </c>
      <c r="H41" s="356">
        <v>0</v>
      </c>
      <c r="I41" s="356">
        <v>0</v>
      </c>
      <c r="J41" s="356">
        <v>0</v>
      </c>
      <c r="K41" s="356">
        <v>0</v>
      </c>
      <c r="L41" s="356">
        <v>0</v>
      </c>
      <c r="M41" s="356">
        <v>33967.5</v>
      </c>
      <c r="N41" s="356">
        <v>29392.66</v>
      </c>
      <c r="O41" s="356">
        <v>33514</v>
      </c>
      <c r="P41" s="356">
        <v>34356</v>
      </c>
      <c r="Q41" s="356">
        <v>28550</v>
      </c>
      <c r="R41" s="356">
        <v>38881</v>
      </c>
      <c r="S41" s="356">
        <v>51976</v>
      </c>
      <c r="T41" s="966">
        <v>52112.94</v>
      </c>
      <c r="U41" s="356">
        <v>51023.519999999997</v>
      </c>
      <c r="V41" s="356">
        <v>52392</v>
      </c>
      <c r="W41" s="356">
        <v>0</v>
      </c>
      <c r="X41" s="356">
        <v>0</v>
      </c>
      <c r="Y41" s="356">
        <v>0</v>
      </c>
      <c r="Z41" s="356">
        <v>0</v>
      </c>
      <c r="AA41" s="356">
        <v>0</v>
      </c>
      <c r="AB41" s="356">
        <v>0</v>
      </c>
      <c r="AE41" s="798" t="str">
        <f t="shared" si="45"/>
        <v/>
      </c>
    </row>
    <row r="42" spans="1:33">
      <c r="B42" s="84" t="s">
        <v>358</v>
      </c>
      <c r="C42" s="356">
        <v>0</v>
      </c>
      <c r="D42" s="356">
        <v>0</v>
      </c>
      <c r="E42" s="356">
        <v>0</v>
      </c>
      <c r="F42" s="356">
        <v>0</v>
      </c>
      <c r="G42" s="356">
        <v>0</v>
      </c>
      <c r="H42" s="356">
        <v>0</v>
      </c>
      <c r="I42" s="356">
        <v>0</v>
      </c>
      <c r="J42" s="356">
        <v>0</v>
      </c>
      <c r="K42" s="356">
        <v>0</v>
      </c>
      <c r="L42" s="356">
        <v>0</v>
      </c>
      <c r="M42" s="356">
        <v>0</v>
      </c>
      <c r="N42" s="356">
        <v>0</v>
      </c>
      <c r="O42" s="356">
        <v>0</v>
      </c>
      <c r="P42" s="356">
        <v>0</v>
      </c>
      <c r="Q42" s="356">
        <v>0</v>
      </c>
      <c r="R42" s="356">
        <v>0</v>
      </c>
      <c r="S42" s="356">
        <v>0</v>
      </c>
      <c r="T42" s="966"/>
      <c r="U42" s="356">
        <v>0</v>
      </c>
      <c r="V42" s="356">
        <v>0</v>
      </c>
      <c r="W42" s="356">
        <v>0</v>
      </c>
      <c r="X42" s="356">
        <v>0</v>
      </c>
      <c r="Y42" s="356">
        <v>0</v>
      </c>
      <c r="Z42" s="356">
        <v>0</v>
      </c>
      <c r="AA42" s="356">
        <v>0</v>
      </c>
      <c r="AB42" s="356">
        <v>0</v>
      </c>
      <c r="AE42" s="798" t="str">
        <f t="shared" si="45"/>
        <v/>
      </c>
    </row>
    <row r="43" spans="1:33">
      <c r="B43" s="84" t="s">
        <v>359</v>
      </c>
      <c r="C43" s="356">
        <v>0</v>
      </c>
      <c r="D43" s="356">
        <v>0</v>
      </c>
      <c r="E43" s="356">
        <v>0</v>
      </c>
      <c r="F43" s="356">
        <v>0</v>
      </c>
      <c r="G43" s="356">
        <v>0</v>
      </c>
      <c r="H43" s="356">
        <v>0</v>
      </c>
      <c r="I43" s="356">
        <v>0</v>
      </c>
      <c r="J43" s="356">
        <v>0</v>
      </c>
      <c r="K43" s="356">
        <v>0</v>
      </c>
      <c r="L43" s="356">
        <v>0</v>
      </c>
      <c r="M43" s="356">
        <v>0</v>
      </c>
      <c r="N43" s="356">
        <v>0</v>
      </c>
      <c r="O43" s="356">
        <v>0</v>
      </c>
      <c r="P43" s="356">
        <v>0</v>
      </c>
      <c r="Q43" s="356">
        <v>0</v>
      </c>
      <c r="R43" s="356">
        <v>0</v>
      </c>
      <c r="S43" s="356">
        <v>0</v>
      </c>
      <c r="T43" s="966"/>
      <c r="U43" s="356">
        <v>0</v>
      </c>
      <c r="V43" s="356">
        <v>0</v>
      </c>
      <c r="W43" s="356">
        <v>0</v>
      </c>
      <c r="X43" s="356">
        <v>0</v>
      </c>
      <c r="Y43" s="356">
        <v>0</v>
      </c>
      <c r="Z43" s="356">
        <v>0</v>
      </c>
      <c r="AA43" s="356">
        <v>0</v>
      </c>
      <c r="AB43" s="356">
        <v>0</v>
      </c>
      <c r="AE43" s="798" t="str">
        <f t="shared" si="45"/>
        <v/>
      </c>
      <c r="AF43" s="58"/>
    </row>
    <row r="44" spans="1:33">
      <c r="B44" s="84" t="s">
        <v>360</v>
      </c>
      <c r="C44" s="356">
        <v>0</v>
      </c>
      <c r="D44" s="356">
        <v>0</v>
      </c>
      <c r="E44" s="356">
        <v>0</v>
      </c>
      <c r="F44" s="356">
        <v>0</v>
      </c>
      <c r="G44" s="356">
        <v>0</v>
      </c>
      <c r="H44" s="356">
        <v>0</v>
      </c>
      <c r="I44" s="356">
        <v>0</v>
      </c>
      <c r="J44" s="356">
        <v>0</v>
      </c>
      <c r="K44" s="356">
        <v>0</v>
      </c>
      <c r="L44" s="356">
        <v>0</v>
      </c>
      <c r="M44" s="356">
        <v>0</v>
      </c>
      <c r="N44" s="356">
        <v>0</v>
      </c>
      <c r="O44" s="356">
        <v>0</v>
      </c>
      <c r="P44" s="356">
        <v>0</v>
      </c>
      <c r="Q44" s="356">
        <v>0</v>
      </c>
      <c r="R44" s="356">
        <v>0</v>
      </c>
      <c r="S44" s="356">
        <v>0</v>
      </c>
      <c r="T44" s="966"/>
      <c r="U44" s="356">
        <v>19716.45</v>
      </c>
      <c r="V44" s="356">
        <v>34880</v>
      </c>
      <c r="W44" s="356">
        <v>0</v>
      </c>
      <c r="X44" s="356">
        <v>0</v>
      </c>
      <c r="Y44" s="356">
        <v>0</v>
      </c>
      <c r="Z44" s="356">
        <v>0</v>
      </c>
      <c r="AA44" s="356">
        <v>0</v>
      </c>
      <c r="AB44" s="356">
        <v>0</v>
      </c>
      <c r="AE44" s="798" t="str">
        <f t="shared" si="45"/>
        <v/>
      </c>
      <c r="AF44" s="75" t="s">
        <v>206</v>
      </c>
    </row>
    <row r="45" spans="1:33">
      <c r="B45" s="81" t="s">
        <v>361</v>
      </c>
      <c r="C45" s="356">
        <v>46572</v>
      </c>
      <c r="D45" s="356">
        <v>0</v>
      </c>
      <c r="E45" s="356">
        <v>0</v>
      </c>
      <c r="F45" s="356">
        <v>0</v>
      </c>
      <c r="G45" s="356">
        <v>0</v>
      </c>
      <c r="H45" s="356">
        <v>0</v>
      </c>
      <c r="I45" s="356">
        <v>0</v>
      </c>
      <c r="J45" s="356">
        <v>0</v>
      </c>
      <c r="K45" s="356">
        <v>0</v>
      </c>
      <c r="L45" s="356">
        <v>0</v>
      </c>
      <c r="M45" s="356">
        <v>71651.33</v>
      </c>
      <c r="N45" s="356">
        <v>121997.92</v>
      </c>
      <c r="O45" s="356">
        <v>181043</v>
      </c>
      <c r="P45" s="356">
        <v>86292</v>
      </c>
      <c r="Q45" s="356">
        <v>87843</v>
      </c>
      <c r="R45" s="356">
        <v>118405</v>
      </c>
      <c r="S45" s="356">
        <v>116077.85</v>
      </c>
      <c r="T45" s="966">
        <v>99941.24</v>
      </c>
      <c r="U45" s="356">
        <v>137978.07</v>
      </c>
      <c r="V45" s="356">
        <v>95788</v>
      </c>
      <c r="W45" s="356">
        <v>0</v>
      </c>
      <c r="X45" s="356">
        <v>0</v>
      </c>
      <c r="Y45" s="356">
        <v>0</v>
      </c>
      <c r="Z45" s="356">
        <v>0</v>
      </c>
      <c r="AA45" s="356">
        <v>0</v>
      </c>
      <c r="AB45" s="356">
        <v>0</v>
      </c>
      <c r="AE45" s="798" t="str">
        <f t="shared" si="45"/>
        <v/>
      </c>
      <c r="AF45" s="75" t="s">
        <v>206</v>
      </c>
    </row>
    <row r="46" spans="1:33">
      <c r="B46" s="81" t="s">
        <v>362</v>
      </c>
      <c r="C46" s="356">
        <v>0</v>
      </c>
      <c r="D46" s="356">
        <v>0</v>
      </c>
      <c r="E46" s="356">
        <v>0</v>
      </c>
      <c r="F46" s="356">
        <v>0</v>
      </c>
      <c r="G46" s="356">
        <v>0</v>
      </c>
      <c r="H46" s="356">
        <v>0</v>
      </c>
      <c r="I46" s="356">
        <v>0</v>
      </c>
      <c r="J46" s="356">
        <v>0</v>
      </c>
      <c r="K46" s="356">
        <v>0</v>
      </c>
      <c r="L46" s="356">
        <v>0</v>
      </c>
      <c r="M46" s="356">
        <v>0</v>
      </c>
      <c r="N46" s="356">
        <v>0</v>
      </c>
      <c r="O46" s="356">
        <v>0</v>
      </c>
      <c r="P46" s="356">
        <v>0</v>
      </c>
      <c r="Q46" s="356">
        <v>0</v>
      </c>
      <c r="R46" s="356">
        <v>0</v>
      </c>
      <c r="S46" s="356">
        <v>0</v>
      </c>
      <c r="T46" s="966"/>
      <c r="U46" s="356">
        <v>0</v>
      </c>
      <c r="V46" s="356">
        <v>163854</v>
      </c>
      <c r="W46" s="356">
        <v>0</v>
      </c>
      <c r="X46" s="356">
        <v>0</v>
      </c>
      <c r="Y46" s="356">
        <v>0</v>
      </c>
      <c r="Z46" s="356">
        <v>0</v>
      </c>
      <c r="AA46" s="356">
        <v>0</v>
      </c>
      <c r="AB46" s="356">
        <v>0</v>
      </c>
      <c r="AE46" s="798" t="str">
        <f t="shared" si="45"/>
        <v/>
      </c>
      <c r="AF46" s="75"/>
    </row>
    <row r="47" spans="1:33">
      <c r="B47" s="81" t="s">
        <v>363</v>
      </c>
      <c r="C47" s="356">
        <v>0</v>
      </c>
      <c r="D47" s="356">
        <v>0</v>
      </c>
      <c r="E47" s="356">
        <v>0</v>
      </c>
      <c r="F47" s="356">
        <v>0</v>
      </c>
      <c r="G47" s="356">
        <v>0</v>
      </c>
      <c r="H47" s="356">
        <v>0</v>
      </c>
      <c r="I47" s="356">
        <v>0</v>
      </c>
      <c r="J47" s="356">
        <v>0</v>
      </c>
      <c r="K47" s="356">
        <v>0</v>
      </c>
      <c r="L47" s="356">
        <v>0</v>
      </c>
      <c r="M47" s="356">
        <v>0</v>
      </c>
      <c r="N47" s="356">
        <v>0</v>
      </c>
      <c r="O47" s="356">
        <v>0</v>
      </c>
      <c r="P47" s="356">
        <v>0</v>
      </c>
      <c r="Q47" s="356">
        <v>0</v>
      </c>
      <c r="R47" s="356">
        <v>0</v>
      </c>
      <c r="S47" s="356">
        <v>0</v>
      </c>
      <c r="T47" s="966"/>
      <c r="U47" s="356">
        <v>0</v>
      </c>
      <c r="V47" s="356">
        <v>0</v>
      </c>
      <c r="W47" s="356">
        <v>0</v>
      </c>
      <c r="X47" s="356">
        <v>0</v>
      </c>
      <c r="Y47" s="356">
        <v>0</v>
      </c>
      <c r="Z47" s="356">
        <v>0</v>
      </c>
      <c r="AA47" s="356">
        <v>0</v>
      </c>
      <c r="AB47" s="356">
        <v>0</v>
      </c>
      <c r="AE47" s="798" t="str">
        <f t="shared" si="45"/>
        <v/>
      </c>
      <c r="AF47" s="75"/>
    </row>
    <row r="48" spans="1:33">
      <c r="B48" s="81" t="s">
        <v>364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966"/>
      <c r="U48" s="356">
        <v>0</v>
      </c>
      <c r="V48" s="356">
        <v>0</v>
      </c>
      <c r="W48" s="356">
        <v>0</v>
      </c>
      <c r="X48" s="356">
        <v>0</v>
      </c>
      <c r="Y48" s="356">
        <v>0</v>
      </c>
      <c r="Z48" s="356">
        <v>0</v>
      </c>
      <c r="AA48" s="356">
        <v>0</v>
      </c>
      <c r="AB48" s="356">
        <v>0</v>
      </c>
      <c r="AE48" s="798" t="str">
        <f t="shared" si="45"/>
        <v/>
      </c>
      <c r="AF48" s="75"/>
    </row>
    <row r="49" spans="2:33">
      <c r="B49" s="81" t="s">
        <v>365</v>
      </c>
      <c r="C49" s="356">
        <v>0</v>
      </c>
      <c r="D49" s="356">
        <v>0</v>
      </c>
      <c r="E49" s="356">
        <v>0</v>
      </c>
      <c r="F49" s="356">
        <v>0</v>
      </c>
      <c r="G49" s="356">
        <v>0</v>
      </c>
      <c r="H49" s="356">
        <v>0</v>
      </c>
      <c r="I49" s="356">
        <v>0</v>
      </c>
      <c r="J49" s="356">
        <v>0</v>
      </c>
      <c r="K49" s="356">
        <v>0</v>
      </c>
      <c r="L49" s="356">
        <v>0</v>
      </c>
      <c r="M49" s="356">
        <v>0</v>
      </c>
      <c r="N49" s="356">
        <v>0</v>
      </c>
      <c r="O49" s="356">
        <v>0</v>
      </c>
      <c r="P49" s="356">
        <v>0</v>
      </c>
      <c r="Q49" s="356">
        <v>0</v>
      </c>
      <c r="R49" s="356">
        <v>0</v>
      </c>
      <c r="S49" s="356">
        <v>0</v>
      </c>
      <c r="T49" s="966"/>
      <c r="U49" s="356">
        <v>0</v>
      </c>
      <c r="V49" s="356">
        <v>0</v>
      </c>
      <c r="W49" s="356">
        <v>0</v>
      </c>
      <c r="X49" s="356">
        <v>0</v>
      </c>
      <c r="Y49" s="356">
        <v>0</v>
      </c>
      <c r="Z49" s="356">
        <v>0</v>
      </c>
      <c r="AA49" s="356">
        <v>0</v>
      </c>
      <c r="AB49" s="356">
        <v>0</v>
      </c>
      <c r="AE49" s="798" t="str">
        <f t="shared" si="45"/>
        <v/>
      </c>
      <c r="AF49" s="75"/>
    </row>
    <row r="50" spans="2:33">
      <c r="B50" s="81" t="s">
        <v>366</v>
      </c>
      <c r="C50" s="356">
        <v>79087</v>
      </c>
      <c r="D50" s="356">
        <v>0</v>
      </c>
      <c r="E50" s="356">
        <v>0</v>
      </c>
      <c r="F50" s="356">
        <v>0</v>
      </c>
      <c r="G50" s="356">
        <v>0</v>
      </c>
      <c r="H50" s="356">
        <v>0</v>
      </c>
      <c r="I50" s="356">
        <v>0</v>
      </c>
      <c r="J50" s="356">
        <v>0</v>
      </c>
      <c r="K50" s="356">
        <v>0</v>
      </c>
      <c r="L50" s="356">
        <v>0</v>
      </c>
      <c r="M50" s="356">
        <v>0</v>
      </c>
      <c r="N50" s="356">
        <v>0</v>
      </c>
      <c r="O50" s="356">
        <v>0</v>
      </c>
      <c r="P50" s="356">
        <v>0</v>
      </c>
      <c r="Q50" s="356">
        <v>0</v>
      </c>
      <c r="R50" s="356">
        <v>0</v>
      </c>
      <c r="S50" s="356">
        <v>0</v>
      </c>
      <c r="T50" s="966"/>
      <c r="U50" s="356">
        <v>0</v>
      </c>
      <c r="V50" s="356">
        <v>0</v>
      </c>
      <c r="W50" s="356">
        <v>0</v>
      </c>
      <c r="X50" s="356">
        <v>0</v>
      </c>
      <c r="Y50" s="356">
        <v>0</v>
      </c>
      <c r="Z50" s="356">
        <v>0</v>
      </c>
      <c r="AA50" s="356">
        <v>0</v>
      </c>
      <c r="AB50" s="356">
        <v>0</v>
      </c>
      <c r="AE50" s="798" t="str">
        <f t="shared" si="45"/>
        <v/>
      </c>
    </row>
    <row r="51" spans="2:33">
      <c r="B51" s="81" t="s">
        <v>367</v>
      </c>
      <c r="C51" s="356">
        <v>0</v>
      </c>
      <c r="D51" s="356">
        <v>0</v>
      </c>
      <c r="E51" s="356">
        <v>0</v>
      </c>
      <c r="F51" s="356">
        <v>0</v>
      </c>
      <c r="G51" s="356">
        <v>0</v>
      </c>
      <c r="H51" s="356">
        <v>0</v>
      </c>
      <c r="I51" s="356">
        <v>0</v>
      </c>
      <c r="J51" s="356">
        <v>0</v>
      </c>
      <c r="K51" s="356">
        <v>0</v>
      </c>
      <c r="L51" s="356">
        <v>0</v>
      </c>
      <c r="M51" s="356">
        <v>81445.95</v>
      </c>
      <c r="N51" s="356">
        <v>94664.31</v>
      </c>
      <c r="O51" s="356">
        <v>96188</v>
      </c>
      <c r="P51" s="356">
        <v>96657</v>
      </c>
      <c r="Q51" s="356">
        <v>92741</v>
      </c>
      <c r="R51" s="356">
        <v>114740</v>
      </c>
      <c r="S51" s="356">
        <v>121710.8</v>
      </c>
      <c r="T51" s="966">
        <v>115558.99</v>
      </c>
      <c r="U51" s="356">
        <v>146830.67000000001</v>
      </c>
      <c r="V51" s="356">
        <v>145631</v>
      </c>
      <c r="W51" s="356">
        <v>0</v>
      </c>
      <c r="X51" s="356">
        <v>0</v>
      </c>
      <c r="Y51" s="356">
        <v>0</v>
      </c>
      <c r="Z51" s="356">
        <v>0</v>
      </c>
      <c r="AA51" s="356">
        <v>0</v>
      </c>
      <c r="AB51" s="356">
        <v>0</v>
      </c>
      <c r="AE51" s="798" t="str">
        <f t="shared" si="45"/>
        <v/>
      </c>
    </row>
    <row r="52" spans="2:33">
      <c r="B52" s="81" t="s">
        <v>368</v>
      </c>
      <c r="C52" s="356">
        <v>74853</v>
      </c>
      <c r="D52" s="356">
        <v>0</v>
      </c>
      <c r="E52" s="356">
        <v>0</v>
      </c>
      <c r="F52" s="356">
        <v>0</v>
      </c>
      <c r="G52" s="356">
        <v>0</v>
      </c>
      <c r="H52" s="356">
        <v>0</v>
      </c>
      <c r="I52" s="356">
        <v>0</v>
      </c>
      <c r="J52" s="356">
        <v>0</v>
      </c>
      <c r="K52" s="356">
        <v>0</v>
      </c>
      <c r="L52" s="356">
        <v>0</v>
      </c>
      <c r="M52" s="356">
        <v>31098.5</v>
      </c>
      <c r="N52" s="356">
        <v>33249.65</v>
      </c>
      <c r="O52" s="356">
        <v>31223</v>
      </c>
      <c r="P52" s="356">
        <v>31721</v>
      </c>
      <c r="Q52" s="356">
        <v>37073</v>
      </c>
      <c r="R52" s="356">
        <v>37386</v>
      </c>
      <c r="S52" s="356">
        <v>36754</v>
      </c>
      <c r="T52" s="966">
        <v>32217.88</v>
      </c>
      <c r="U52" s="356">
        <v>26932.26</v>
      </c>
      <c r="V52" s="356">
        <v>25995</v>
      </c>
      <c r="W52" s="356">
        <v>0</v>
      </c>
      <c r="X52" s="356">
        <v>0</v>
      </c>
      <c r="Y52" s="356">
        <v>0</v>
      </c>
      <c r="Z52" s="356">
        <v>0</v>
      </c>
      <c r="AA52" s="356">
        <v>0</v>
      </c>
      <c r="AB52" s="356">
        <v>0</v>
      </c>
      <c r="AE52" s="798" t="str">
        <f t="shared" si="45"/>
        <v/>
      </c>
      <c r="AG52" s="1001"/>
    </row>
    <row r="53" spans="2:33">
      <c r="B53" s="81" t="s">
        <v>369</v>
      </c>
      <c r="C53" s="356">
        <v>0</v>
      </c>
      <c r="D53" s="356">
        <v>0</v>
      </c>
      <c r="E53" s="356">
        <v>0</v>
      </c>
      <c r="F53" s="356">
        <v>0</v>
      </c>
      <c r="G53" s="356">
        <v>0</v>
      </c>
      <c r="H53" s="356">
        <v>0</v>
      </c>
      <c r="I53" s="356">
        <v>0</v>
      </c>
      <c r="J53" s="356">
        <v>0</v>
      </c>
      <c r="K53" s="356">
        <v>0</v>
      </c>
      <c r="L53" s="356">
        <v>0</v>
      </c>
      <c r="M53" s="356">
        <v>0</v>
      </c>
      <c r="N53" s="356">
        <v>0</v>
      </c>
      <c r="O53" s="356">
        <v>0</v>
      </c>
      <c r="P53" s="356">
        <v>0</v>
      </c>
      <c r="Q53" s="356">
        <v>0</v>
      </c>
      <c r="R53" s="356">
        <v>0</v>
      </c>
      <c r="S53" s="356">
        <v>0</v>
      </c>
      <c r="T53" s="966"/>
      <c r="U53" s="356">
        <v>0</v>
      </c>
      <c r="V53" s="356">
        <v>0</v>
      </c>
      <c r="W53" s="356">
        <v>0</v>
      </c>
      <c r="X53" s="356">
        <v>0</v>
      </c>
      <c r="Y53" s="356">
        <v>0</v>
      </c>
      <c r="Z53" s="356">
        <v>0</v>
      </c>
      <c r="AA53" s="356">
        <v>0</v>
      </c>
      <c r="AB53" s="356">
        <v>0</v>
      </c>
      <c r="AD53" s="82"/>
      <c r="AE53" s="798" t="str">
        <f t="shared" si="45"/>
        <v/>
      </c>
    </row>
    <row r="54" spans="2:33">
      <c r="B54" s="81" t="s">
        <v>370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966"/>
      <c r="U54" s="356"/>
      <c r="V54" s="356"/>
      <c r="W54" s="356"/>
      <c r="X54" s="356"/>
      <c r="Y54" s="356"/>
      <c r="Z54" s="356"/>
      <c r="AA54" s="356">
        <v>0</v>
      </c>
      <c r="AB54" s="356">
        <v>0</v>
      </c>
      <c r="AD54" s="82"/>
      <c r="AE54" s="798" t="str">
        <f t="shared" si="45"/>
        <v/>
      </c>
    </row>
    <row r="55" spans="2:33">
      <c r="B55" s="81" t="s">
        <v>371</v>
      </c>
      <c r="C55" s="356">
        <v>0</v>
      </c>
      <c r="D55" s="356">
        <v>0</v>
      </c>
      <c r="E55" s="356">
        <v>0</v>
      </c>
      <c r="F55" s="356">
        <v>0</v>
      </c>
      <c r="G55" s="356">
        <v>0</v>
      </c>
      <c r="H55" s="356">
        <v>0</v>
      </c>
      <c r="I55" s="356">
        <v>0</v>
      </c>
      <c r="J55" s="356">
        <v>0</v>
      </c>
      <c r="K55" s="356">
        <v>0</v>
      </c>
      <c r="L55" s="356">
        <v>0</v>
      </c>
      <c r="M55" s="356">
        <v>98891</v>
      </c>
      <c r="N55" s="356">
        <v>108274.8</v>
      </c>
      <c r="O55" s="356">
        <v>125642</v>
      </c>
      <c r="P55" s="356">
        <v>142828</v>
      </c>
      <c r="Q55" s="356">
        <v>152181</v>
      </c>
      <c r="R55" s="356">
        <v>154602</v>
      </c>
      <c r="S55" s="356">
        <v>156866.25</v>
      </c>
      <c r="T55" s="966">
        <v>159163.82999999999</v>
      </c>
      <c r="U55" s="356">
        <v>161492.54999999999</v>
      </c>
      <c r="V55" s="356">
        <v>0</v>
      </c>
      <c r="W55" s="356">
        <v>0</v>
      </c>
      <c r="X55" s="356">
        <v>0</v>
      </c>
      <c r="Y55" s="356">
        <v>0</v>
      </c>
      <c r="Z55" s="356">
        <v>0</v>
      </c>
      <c r="AA55" s="356">
        <v>0</v>
      </c>
      <c r="AB55" s="356">
        <v>0</v>
      </c>
      <c r="AE55" s="798" t="str">
        <f t="shared" si="45"/>
        <v/>
      </c>
    </row>
    <row r="56" spans="2:33">
      <c r="B56" s="81" t="s">
        <v>372</v>
      </c>
      <c r="C56" s="356">
        <v>0</v>
      </c>
      <c r="D56" s="356">
        <v>0</v>
      </c>
      <c r="E56" s="356">
        <v>0</v>
      </c>
      <c r="F56" s="356">
        <v>0</v>
      </c>
      <c r="G56" s="356">
        <v>0</v>
      </c>
      <c r="H56" s="356">
        <v>0</v>
      </c>
      <c r="I56" s="356">
        <v>0</v>
      </c>
      <c r="J56" s="356">
        <v>0</v>
      </c>
      <c r="K56" s="356">
        <v>0</v>
      </c>
      <c r="L56" s="356">
        <v>0</v>
      </c>
      <c r="M56" s="356">
        <v>0</v>
      </c>
      <c r="N56" s="356">
        <v>0</v>
      </c>
      <c r="O56" s="356">
        <v>0</v>
      </c>
      <c r="P56" s="356">
        <v>0</v>
      </c>
      <c r="Q56" s="356">
        <v>0</v>
      </c>
      <c r="R56" s="356">
        <v>0</v>
      </c>
      <c r="S56" s="356">
        <v>0</v>
      </c>
      <c r="T56" s="966"/>
      <c r="U56" s="356">
        <v>0</v>
      </c>
      <c r="V56" s="356">
        <v>0</v>
      </c>
      <c r="W56" s="356">
        <v>0</v>
      </c>
      <c r="X56" s="356">
        <v>0</v>
      </c>
      <c r="Y56" s="356">
        <v>0</v>
      </c>
      <c r="Z56" s="356">
        <v>0</v>
      </c>
      <c r="AA56" s="356">
        <v>0</v>
      </c>
      <c r="AB56" s="356">
        <v>0</v>
      </c>
      <c r="AE56" s="798" t="str">
        <f t="shared" si="45"/>
        <v/>
      </c>
    </row>
    <row r="57" spans="2:33">
      <c r="B57" s="81" t="s">
        <v>373</v>
      </c>
      <c r="C57" s="356">
        <v>0</v>
      </c>
      <c r="D57" s="356">
        <v>0</v>
      </c>
      <c r="E57" s="356">
        <v>0</v>
      </c>
      <c r="F57" s="356">
        <v>0</v>
      </c>
      <c r="G57" s="356">
        <v>0</v>
      </c>
      <c r="H57" s="356">
        <v>0</v>
      </c>
      <c r="I57" s="356">
        <v>0</v>
      </c>
      <c r="J57" s="356">
        <v>0</v>
      </c>
      <c r="K57" s="356">
        <v>0</v>
      </c>
      <c r="L57" s="356">
        <v>0</v>
      </c>
      <c r="M57" s="356">
        <v>0</v>
      </c>
      <c r="N57" s="356">
        <v>0</v>
      </c>
      <c r="O57" s="356">
        <v>0</v>
      </c>
      <c r="P57" s="356">
        <v>0</v>
      </c>
      <c r="Q57" s="356">
        <v>0</v>
      </c>
      <c r="R57" s="356">
        <v>0</v>
      </c>
      <c r="S57" s="356">
        <v>0</v>
      </c>
      <c r="T57" s="966"/>
      <c r="U57" s="356">
        <v>0</v>
      </c>
      <c r="V57" s="356">
        <v>0</v>
      </c>
      <c r="W57" s="356">
        <v>0</v>
      </c>
      <c r="X57" s="356">
        <v>0</v>
      </c>
      <c r="Y57" s="356">
        <v>0</v>
      </c>
      <c r="Z57" s="356">
        <v>0</v>
      </c>
      <c r="AA57" s="356">
        <v>0</v>
      </c>
      <c r="AB57" s="356">
        <v>0</v>
      </c>
      <c r="AE57" s="798" t="str">
        <f t="shared" si="45"/>
        <v/>
      </c>
    </row>
    <row r="58" spans="2:33">
      <c r="B58" s="81" t="s">
        <v>374</v>
      </c>
      <c r="C58" s="356">
        <v>0</v>
      </c>
      <c r="D58" s="356">
        <v>0</v>
      </c>
      <c r="E58" s="356">
        <v>0</v>
      </c>
      <c r="F58" s="356">
        <v>0</v>
      </c>
      <c r="G58" s="356">
        <v>0</v>
      </c>
      <c r="H58" s="356">
        <v>0</v>
      </c>
      <c r="I58" s="356">
        <v>0</v>
      </c>
      <c r="J58" s="356">
        <v>0</v>
      </c>
      <c r="K58" s="356">
        <v>0</v>
      </c>
      <c r="L58" s="356">
        <v>0</v>
      </c>
      <c r="M58" s="356">
        <v>0</v>
      </c>
      <c r="N58" s="356">
        <v>0</v>
      </c>
      <c r="O58" s="356">
        <v>0</v>
      </c>
      <c r="P58" s="356">
        <v>0</v>
      </c>
      <c r="Q58" s="356">
        <v>0</v>
      </c>
      <c r="R58" s="356">
        <v>0</v>
      </c>
      <c r="S58" s="356">
        <v>0</v>
      </c>
      <c r="T58" s="966"/>
      <c r="U58" s="356">
        <v>0</v>
      </c>
      <c r="V58" s="356">
        <v>0</v>
      </c>
      <c r="W58" s="356">
        <v>0</v>
      </c>
      <c r="X58" s="356">
        <v>0</v>
      </c>
      <c r="Y58" s="356">
        <v>0</v>
      </c>
      <c r="Z58" s="356">
        <v>0</v>
      </c>
      <c r="AA58" s="356">
        <v>0</v>
      </c>
      <c r="AB58" s="356">
        <v>0</v>
      </c>
      <c r="AE58" s="798" t="str">
        <f t="shared" si="45"/>
        <v/>
      </c>
    </row>
    <row r="59" spans="2:33">
      <c r="B59" s="81" t="s">
        <v>375</v>
      </c>
      <c r="C59" s="356">
        <v>0</v>
      </c>
      <c r="D59" s="356">
        <v>0</v>
      </c>
      <c r="E59" s="356">
        <v>0</v>
      </c>
      <c r="F59" s="356">
        <v>0</v>
      </c>
      <c r="G59" s="356">
        <v>0</v>
      </c>
      <c r="H59" s="356">
        <v>0</v>
      </c>
      <c r="I59" s="356">
        <v>0</v>
      </c>
      <c r="J59" s="356">
        <v>0</v>
      </c>
      <c r="K59" s="356">
        <v>0</v>
      </c>
      <c r="L59" s="356">
        <v>0</v>
      </c>
      <c r="M59" s="356">
        <v>0</v>
      </c>
      <c r="N59" s="356">
        <v>0</v>
      </c>
      <c r="O59" s="356">
        <v>0</v>
      </c>
      <c r="P59" s="356">
        <v>0</v>
      </c>
      <c r="Q59" s="356">
        <v>0</v>
      </c>
      <c r="R59" s="356">
        <v>0</v>
      </c>
      <c r="S59" s="356">
        <v>0</v>
      </c>
      <c r="T59" s="966"/>
      <c r="U59" s="356">
        <v>0</v>
      </c>
      <c r="V59" s="356">
        <v>0</v>
      </c>
      <c r="W59" s="356">
        <v>0</v>
      </c>
      <c r="X59" s="356">
        <v>0</v>
      </c>
      <c r="Y59" s="356">
        <v>0</v>
      </c>
      <c r="Z59" s="356">
        <v>0</v>
      </c>
      <c r="AA59" s="356">
        <v>0</v>
      </c>
      <c r="AB59" s="356">
        <v>0</v>
      </c>
      <c r="AE59" s="798" t="str">
        <f t="shared" si="45"/>
        <v/>
      </c>
    </row>
    <row r="60" spans="2:33">
      <c r="B60" s="81" t="s">
        <v>376</v>
      </c>
      <c r="C60" s="356">
        <v>0</v>
      </c>
      <c r="D60" s="356">
        <v>0</v>
      </c>
      <c r="E60" s="356">
        <v>0</v>
      </c>
      <c r="F60" s="356">
        <v>0</v>
      </c>
      <c r="G60" s="356">
        <v>0</v>
      </c>
      <c r="H60" s="356">
        <v>0</v>
      </c>
      <c r="I60" s="356">
        <v>0</v>
      </c>
      <c r="J60" s="356">
        <v>0</v>
      </c>
      <c r="K60" s="356">
        <v>0</v>
      </c>
      <c r="L60" s="356">
        <v>0</v>
      </c>
      <c r="M60" s="356">
        <v>0</v>
      </c>
      <c r="N60" s="356">
        <v>0</v>
      </c>
      <c r="O60" s="356">
        <v>0</v>
      </c>
      <c r="P60" s="356">
        <v>0</v>
      </c>
      <c r="Q60" s="356">
        <v>0</v>
      </c>
      <c r="R60" s="356">
        <v>0</v>
      </c>
      <c r="S60" s="356">
        <v>0</v>
      </c>
      <c r="T60" s="966"/>
      <c r="U60" s="356">
        <v>0</v>
      </c>
      <c r="V60" s="356">
        <v>0</v>
      </c>
      <c r="W60" s="356">
        <v>0</v>
      </c>
      <c r="X60" s="356">
        <v>0</v>
      </c>
      <c r="Y60" s="356">
        <v>0</v>
      </c>
      <c r="Z60" s="356">
        <v>0</v>
      </c>
      <c r="AA60" s="356">
        <v>0</v>
      </c>
      <c r="AB60" s="356">
        <v>0</v>
      </c>
      <c r="AE60" s="798" t="str">
        <f t="shared" si="45"/>
        <v/>
      </c>
    </row>
    <row r="61" spans="2:33">
      <c r="B61" s="81" t="s">
        <v>377</v>
      </c>
      <c r="C61" s="356">
        <v>135764</v>
      </c>
      <c r="D61" s="356">
        <v>0</v>
      </c>
      <c r="E61" s="356">
        <v>0</v>
      </c>
      <c r="F61" s="356">
        <v>0</v>
      </c>
      <c r="G61" s="356">
        <v>0</v>
      </c>
      <c r="H61" s="356">
        <v>0</v>
      </c>
      <c r="I61" s="356">
        <v>0</v>
      </c>
      <c r="J61" s="356">
        <v>0</v>
      </c>
      <c r="K61" s="356">
        <v>0</v>
      </c>
      <c r="L61" s="356">
        <v>0</v>
      </c>
      <c r="M61" s="356">
        <v>122792.5</v>
      </c>
      <c r="N61" s="356">
        <v>131770.25</v>
      </c>
      <c r="O61" s="356">
        <v>131800</v>
      </c>
      <c r="P61" s="356">
        <v>139898</v>
      </c>
      <c r="Q61" s="356">
        <v>125010</v>
      </c>
      <c r="R61" s="356">
        <v>168975</v>
      </c>
      <c r="S61" s="356">
        <v>113783.53</v>
      </c>
      <c r="T61" s="966">
        <v>130242.85</v>
      </c>
      <c r="U61" s="356">
        <f>60564+79219.58</f>
        <v>139783.58000000002</v>
      </c>
      <c r="V61" s="356">
        <f>61036+71394</f>
        <v>132430</v>
      </c>
      <c r="W61" s="356">
        <v>0</v>
      </c>
      <c r="X61" s="356">
        <v>0</v>
      </c>
      <c r="Y61" s="356">
        <v>0</v>
      </c>
      <c r="Z61" s="356">
        <v>0</v>
      </c>
      <c r="AA61" s="356">
        <v>0</v>
      </c>
      <c r="AB61" s="356">
        <v>0</v>
      </c>
      <c r="AE61" s="798" t="str">
        <f t="shared" si="45"/>
        <v/>
      </c>
    </row>
    <row r="62" spans="2:33">
      <c r="B62" s="81" t="s">
        <v>378</v>
      </c>
      <c r="C62" s="356">
        <v>0</v>
      </c>
      <c r="D62" s="356">
        <v>0</v>
      </c>
      <c r="E62" s="356">
        <v>0</v>
      </c>
      <c r="F62" s="356">
        <v>0</v>
      </c>
      <c r="G62" s="356">
        <v>0</v>
      </c>
      <c r="H62" s="356">
        <v>0</v>
      </c>
      <c r="I62" s="356">
        <v>0</v>
      </c>
      <c r="J62" s="356">
        <v>0</v>
      </c>
      <c r="K62" s="356">
        <v>0</v>
      </c>
      <c r="L62" s="356">
        <v>0</v>
      </c>
      <c r="M62" s="356">
        <v>0</v>
      </c>
      <c r="N62" s="356">
        <v>0</v>
      </c>
      <c r="O62" s="356">
        <v>0</v>
      </c>
      <c r="P62" s="356">
        <v>0</v>
      </c>
      <c r="Q62" s="356">
        <v>0</v>
      </c>
      <c r="R62" s="356">
        <v>0</v>
      </c>
      <c r="S62" s="356">
        <v>0</v>
      </c>
      <c r="T62" s="966"/>
      <c r="U62" s="356">
        <v>0</v>
      </c>
      <c r="V62" s="356">
        <v>0</v>
      </c>
      <c r="W62" s="356">
        <v>0</v>
      </c>
      <c r="X62" s="356">
        <v>0</v>
      </c>
      <c r="Y62" s="356">
        <v>0</v>
      </c>
      <c r="Z62" s="356">
        <v>0</v>
      </c>
      <c r="AA62" s="356">
        <v>0</v>
      </c>
      <c r="AB62" s="356">
        <v>0</v>
      </c>
      <c r="AE62" s="798" t="str">
        <f t="shared" si="45"/>
        <v/>
      </c>
    </row>
    <row r="63" spans="2:33">
      <c r="B63" s="81" t="s">
        <v>379</v>
      </c>
      <c r="C63" s="356">
        <v>78393</v>
      </c>
      <c r="D63" s="356">
        <v>0</v>
      </c>
      <c r="E63" s="356">
        <v>0</v>
      </c>
      <c r="F63" s="356">
        <v>0</v>
      </c>
      <c r="G63" s="356">
        <v>0</v>
      </c>
      <c r="H63" s="356">
        <v>0</v>
      </c>
      <c r="I63" s="356">
        <v>0</v>
      </c>
      <c r="J63" s="356">
        <v>0</v>
      </c>
      <c r="K63" s="356">
        <v>0</v>
      </c>
      <c r="L63" s="356">
        <v>0</v>
      </c>
      <c r="M63" s="356">
        <v>20540</v>
      </c>
      <c r="N63" s="356">
        <v>18786</v>
      </c>
      <c r="O63" s="356">
        <v>15285</v>
      </c>
      <c r="P63" s="356">
        <v>21812</v>
      </c>
      <c r="Q63" s="356">
        <v>20002</v>
      </c>
      <c r="R63" s="356">
        <v>12434</v>
      </c>
      <c r="S63" s="356">
        <v>26038.69</v>
      </c>
      <c r="T63" s="966">
        <v>14495.32</v>
      </c>
      <c r="U63" s="356">
        <v>18818.810000000001</v>
      </c>
      <c r="V63" s="356">
        <v>27269</v>
      </c>
      <c r="W63" s="356">
        <v>0</v>
      </c>
      <c r="X63" s="356">
        <v>0</v>
      </c>
      <c r="Y63" s="356">
        <v>0</v>
      </c>
      <c r="Z63" s="356">
        <v>0</v>
      </c>
      <c r="AA63" s="356">
        <v>0</v>
      </c>
      <c r="AB63" s="356">
        <v>0</v>
      </c>
      <c r="AE63" s="798" t="str">
        <f t="shared" si="45"/>
        <v/>
      </c>
    </row>
    <row r="64" spans="2:33">
      <c r="B64" s="81" t="s">
        <v>380</v>
      </c>
      <c r="C64" s="356">
        <v>49597</v>
      </c>
      <c r="D64" s="356">
        <v>0</v>
      </c>
      <c r="E64" s="356">
        <v>0</v>
      </c>
      <c r="F64" s="356">
        <v>0</v>
      </c>
      <c r="G64" s="356">
        <v>0</v>
      </c>
      <c r="H64" s="356">
        <v>0</v>
      </c>
      <c r="I64" s="356">
        <v>0</v>
      </c>
      <c r="J64" s="356">
        <v>0</v>
      </c>
      <c r="K64" s="356">
        <v>0</v>
      </c>
      <c r="L64" s="356">
        <v>0</v>
      </c>
      <c r="M64" s="356">
        <v>14828.92</v>
      </c>
      <c r="N64" s="356">
        <v>17302.849999999999</v>
      </c>
      <c r="O64" s="356">
        <v>29617</v>
      </c>
      <c r="P64" s="356">
        <v>68399</v>
      </c>
      <c r="Q64" s="356">
        <v>59525</v>
      </c>
      <c r="R64" s="356">
        <v>8612</v>
      </c>
      <c r="S64" s="356">
        <v>7417.52</v>
      </c>
      <c r="T64" s="966">
        <v>71698.02</v>
      </c>
      <c r="U64" s="356">
        <v>120419.4</v>
      </c>
      <c r="V64" s="356">
        <v>302501</v>
      </c>
      <c r="W64" s="356">
        <v>0</v>
      </c>
      <c r="X64" s="356">
        <v>0</v>
      </c>
      <c r="Y64" s="356">
        <v>0</v>
      </c>
      <c r="Z64" s="356">
        <v>0</v>
      </c>
      <c r="AA64" s="356">
        <v>0</v>
      </c>
      <c r="AB64" s="356">
        <v>0</v>
      </c>
      <c r="AE64" s="798" t="str">
        <f t="shared" si="45"/>
        <v/>
      </c>
    </row>
    <row r="65" spans="1:31">
      <c r="B65" s="81" t="s">
        <v>381</v>
      </c>
      <c r="C65" s="356">
        <v>0</v>
      </c>
      <c r="D65" s="356">
        <v>0</v>
      </c>
      <c r="E65" s="356">
        <v>0</v>
      </c>
      <c r="F65" s="356">
        <v>0</v>
      </c>
      <c r="G65" s="356">
        <v>0</v>
      </c>
      <c r="H65" s="356">
        <v>0</v>
      </c>
      <c r="I65" s="356">
        <v>0</v>
      </c>
      <c r="J65" s="356">
        <v>0</v>
      </c>
      <c r="K65" s="356">
        <v>0</v>
      </c>
      <c r="L65" s="356">
        <v>0</v>
      </c>
      <c r="M65" s="356">
        <v>0</v>
      </c>
      <c r="N65" s="356">
        <v>0</v>
      </c>
      <c r="O65" s="356">
        <v>0</v>
      </c>
      <c r="P65" s="356">
        <v>0</v>
      </c>
      <c r="Q65" s="356">
        <v>0</v>
      </c>
      <c r="R65" s="356">
        <v>0</v>
      </c>
      <c r="S65" s="356">
        <v>0</v>
      </c>
      <c r="T65" s="966"/>
      <c r="U65" s="356">
        <v>0</v>
      </c>
      <c r="V65" s="356">
        <v>0</v>
      </c>
      <c r="W65" s="356">
        <v>0</v>
      </c>
      <c r="X65" s="356">
        <v>0</v>
      </c>
      <c r="Y65" s="356">
        <v>0</v>
      </c>
      <c r="Z65" s="356">
        <v>0</v>
      </c>
      <c r="AA65" s="356">
        <v>0</v>
      </c>
      <c r="AB65" s="356">
        <v>0</v>
      </c>
      <c r="AE65" s="798" t="str">
        <f t="shared" si="45"/>
        <v/>
      </c>
    </row>
    <row r="66" spans="1:31">
      <c r="B66" s="81" t="s">
        <v>382</v>
      </c>
      <c r="C66" s="356">
        <v>25968</v>
      </c>
      <c r="D66" s="356">
        <v>0</v>
      </c>
      <c r="E66" s="356">
        <v>0</v>
      </c>
      <c r="F66" s="356">
        <v>0</v>
      </c>
      <c r="G66" s="356">
        <v>0</v>
      </c>
      <c r="H66" s="356">
        <v>0</v>
      </c>
      <c r="I66" s="356">
        <v>0</v>
      </c>
      <c r="J66" s="356">
        <v>0</v>
      </c>
      <c r="K66" s="356">
        <v>0</v>
      </c>
      <c r="L66" s="356">
        <v>0</v>
      </c>
      <c r="M66" s="356">
        <v>0</v>
      </c>
      <c r="N66" s="356">
        <v>0</v>
      </c>
      <c r="O66" s="356">
        <v>0</v>
      </c>
      <c r="P66" s="356">
        <v>0</v>
      </c>
      <c r="Q66" s="356">
        <v>0</v>
      </c>
      <c r="R66" s="356">
        <v>0</v>
      </c>
      <c r="S66" s="356">
        <v>0</v>
      </c>
      <c r="T66" s="966"/>
      <c r="U66" s="356">
        <v>0</v>
      </c>
      <c r="V66" s="356">
        <v>0</v>
      </c>
      <c r="W66" s="356">
        <v>0</v>
      </c>
      <c r="X66" s="356">
        <v>0</v>
      </c>
      <c r="Y66" s="356">
        <v>0</v>
      </c>
      <c r="Z66" s="356">
        <v>0</v>
      </c>
      <c r="AA66" s="356">
        <v>0</v>
      </c>
      <c r="AB66" s="356">
        <v>0</v>
      </c>
      <c r="AE66" s="798" t="str">
        <f t="shared" si="45"/>
        <v/>
      </c>
    </row>
    <row r="67" spans="1:31">
      <c r="B67" s="81" t="s">
        <v>383</v>
      </c>
      <c r="C67" s="356">
        <v>0</v>
      </c>
      <c r="D67" s="356">
        <v>0</v>
      </c>
      <c r="E67" s="356">
        <v>0</v>
      </c>
      <c r="F67" s="356">
        <v>0</v>
      </c>
      <c r="G67" s="356">
        <v>0</v>
      </c>
      <c r="H67" s="356">
        <v>0</v>
      </c>
      <c r="I67" s="356">
        <v>0</v>
      </c>
      <c r="J67" s="356">
        <v>0</v>
      </c>
      <c r="K67" s="356">
        <v>0</v>
      </c>
      <c r="L67" s="356">
        <v>0</v>
      </c>
      <c r="M67" s="356">
        <v>59405.61</v>
      </c>
      <c r="N67" s="356">
        <v>28964.09</v>
      </c>
      <c r="O67" s="356">
        <v>22979</v>
      </c>
      <c r="P67" s="356">
        <v>21416</v>
      </c>
      <c r="Q67" s="356">
        <v>482104</v>
      </c>
      <c r="R67" s="356">
        <v>9155</v>
      </c>
      <c r="S67" s="356">
        <v>63597.88</v>
      </c>
      <c r="T67" s="966">
        <v>85570.57</v>
      </c>
      <c r="U67" s="356">
        <v>281848.58</v>
      </c>
      <c r="V67" s="356">
        <v>59739.27</v>
      </c>
      <c r="W67" s="356">
        <v>0</v>
      </c>
      <c r="X67" s="356">
        <v>0</v>
      </c>
      <c r="Y67" s="356">
        <v>0</v>
      </c>
      <c r="Z67" s="356">
        <v>0</v>
      </c>
      <c r="AA67" s="356">
        <v>0</v>
      </c>
      <c r="AB67" s="356">
        <v>0</v>
      </c>
      <c r="AE67" s="798" t="str">
        <f t="shared" si="45"/>
        <v/>
      </c>
    </row>
    <row r="68" spans="1:31" s="32" customFormat="1" ht="12">
      <c r="A68" s="383" t="s">
        <v>142</v>
      </c>
      <c r="B68" s="473" t="s">
        <v>388</v>
      </c>
      <c r="C68" s="618">
        <f t="shared" ref="C68:R68" si="46">SUM(C40:C67)</f>
        <v>1274139</v>
      </c>
      <c r="D68" s="618">
        <f t="shared" si="46"/>
        <v>0</v>
      </c>
      <c r="E68" s="618">
        <f t="shared" si="46"/>
        <v>0</v>
      </c>
      <c r="F68" s="618">
        <f t="shared" si="46"/>
        <v>0</v>
      </c>
      <c r="G68" s="618">
        <f t="shared" si="46"/>
        <v>0</v>
      </c>
      <c r="H68" s="618">
        <f t="shared" si="46"/>
        <v>0</v>
      </c>
      <c r="I68" s="619">
        <f t="shared" si="46"/>
        <v>0</v>
      </c>
      <c r="J68" s="619">
        <f>SUM(J40:J67)</f>
        <v>0</v>
      </c>
      <c r="K68" s="619">
        <f t="shared" si="46"/>
        <v>0</v>
      </c>
      <c r="L68" s="619">
        <f t="shared" si="46"/>
        <v>0</v>
      </c>
      <c r="M68" s="619">
        <f t="shared" si="46"/>
        <v>1432304.98</v>
      </c>
      <c r="N68" s="619">
        <f t="shared" si="46"/>
        <v>1541741.5800000003</v>
      </c>
      <c r="O68" s="619">
        <f t="shared" si="46"/>
        <v>1764247</v>
      </c>
      <c r="P68" s="619">
        <f t="shared" si="46"/>
        <v>1732147</v>
      </c>
      <c r="Q68" s="619">
        <f t="shared" si="46"/>
        <v>2141039</v>
      </c>
      <c r="R68" s="619">
        <f t="shared" si="46"/>
        <v>1743544</v>
      </c>
      <c r="S68" s="619">
        <f>SUM(S40:S67)</f>
        <v>1827298.52</v>
      </c>
      <c r="T68" s="619">
        <f>SUM(T40:T67)</f>
        <v>1942772.9400000002</v>
      </c>
      <c r="U68" s="619">
        <f t="shared" ref="U68" si="47">SUM(U40:U67)</f>
        <v>2306593.6800000002</v>
      </c>
      <c r="V68" s="619">
        <f t="shared" ref="V68:W68" si="48">SUM(V40:V67)</f>
        <v>2336778.27</v>
      </c>
      <c r="W68" s="619">
        <f t="shared" si="48"/>
        <v>0</v>
      </c>
      <c r="X68" s="619">
        <f t="shared" ref="X68:Y68" si="49">SUM(X40:X67)</f>
        <v>0</v>
      </c>
      <c r="Y68" s="619">
        <f t="shared" si="49"/>
        <v>0</v>
      </c>
      <c r="Z68" s="619">
        <f t="shared" ref="Z68:AB68" si="50">SUM(Z40:Z67)</f>
        <v>0</v>
      </c>
      <c r="AA68" s="619">
        <f t="shared" si="50"/>
        <v>0</v>
      </c>
      <c r="AB68" s="619">
        <f t="shared" si="50"/>
        <v>0</v>
      </c>
      <c r="AD68" s="49"/>
      <c r="AE68" s="798" t="str">
        <f t="shared" si="45"/>
        <v/>
      </c>
    </row>
    <row r="69" spans="1:31" s="32" customFormat="1" ht="12">
      <c r="A69" s="383"/>
      <c r="B69" s="398"/>
      <c r="C69" s="602"/>
      <c r="D69" s="602"/>
      <c r="E69" s="602"/>
      <c r="F69" s="602"/>
      <c r="G69" s="602"/>
      <c r="H69" s="602"/>
      <c r="I69" s="603"/>
      <c r="J69" s="603"/>
      <c r="K69" s="603"/>
      <c r="L69" s="603"/>
      <c r="M69" s="603"/>
      <c r="N69" s="603"/>
      <c r="O69" s="603"/>
      <c r="P69" s="603"/>
      <c r="Q69" s="603"/>
      <c r="R69" s="603"/>
      <c r="S69" s="603"/>
      <c r="T69" s="603"/>
      <c r="U69" s="603"/>
      <c r="V69" s="603"/>
      <c r="W69" s="603"/>
      <c r="X69" s="603"/>
      <c r="Y69" s="603"/>
      <c r="Z69" s="603"/>
      <c r="AA69" s="603"/>
      <c r="AB69" s="603"/>
      <c r="AD69" s="49"/>
      <c r="AE69" s="798"/>
    </row>
    <row r="70" spans="1:31" s="22" customFormat="1" ht="12.75" thickBot="1">
      <c r="A70" s="384"/>
      <c r="B70" s="397" t="s">
        <v>389</v>
      </c>
      <c r="C70" s="604">
        <f>IF(C68&gt;0,C68-C35,"")</f>
        <v>300139</v>
      </c>
      <c r="D70" s="604" t="str">
        <f t="shared" ref="D70:V70" si="51">IF(D68&gt;0,D68-D35,"")</f>
        <v/>
      </c>
      <c r="E70" s="604" t="str">
        <f t="shared" si="51"/>
        <v/>
      </c>
      <c r="F70" s="604" t="str">
        <f t="shared" si="51"/>
        <v/>
      </c>
      <c r="G70" s="604" t="str">
        <f t="shared" si="51"/>
        <v/>
      </c>
      <c r="H70" s="604" t="str">
        <f t="shared" si="51"/>
        <v/>
      </c>
      <c r="I70" s="604" t="str">
        <f t="shared" si="51"/>
        <v/>
      </c>
      <c r="J70" s="604" t="str">
        <f t="shared" si="51"/>
        <v/>
      </c>
      <c r="K70" s="604" t="str">
        <f t="shared" si="51"/>
        <v/>
      </c>
      <c r="L70" s="604" t="str">
        <f t="shared" si="51"/>
        <v/>
      </c>
      <c r="M70" s="604">
        <f t="shared" si="51"/>
        <v>1432304.98</v>
      </c>
      <c r="N70" s="604">
        <f t="shared" si="51"/>
        <v>494147.58000000031</v>
      </c>
      <c r="O70" s="604">
        <f t="shared" si="51"/>
        <v>714811</v>
      </c>
      <c r="P70" s="604">
        <f t="shared" si="51"/>
        <v>665385</v>
      </c>
      <c r="Q70" s="604">
        <f t="shared" si="51"/>
        <v>967371</v>
      </c>
      <c r="R70" s="604">
        <f t="shared" si="51"/>
        <v>579673</v>
      </c>
      <c r="S70" s="604">
        <f t="shared" si="51"/>
        <v>599029.52</v>
      </c>
      <c r="T70" s="604">
        <f t="shared" si="51"/>
        <v>600052.94000000018</v>
      </c>
      <c r="U70" s="604">
        <f t="shared" si="51"/>
        <v>933468.68000000017</v>
      </c>
      <c r="V70" s="604">
        <f t="shared" si="51"/>
        <v>921496.27</v>
      </c>
      <c r="W70" s="604" t="str">
        <f t="shared" ref="W70:X70" si="52">IF(W68&gt;0,W68-W35,"")</f>
        <v/>
      </c>
      <c r="X70" s="604" t="str">
        <f t="shared" si="52"/>
        <v/>
      </c>
      <c r="Y70" s="604" t="str">
        <f t="shared" ref="Y70:Z70" si="53">IF(Y68&gt;0,Y68-Y35,"")</f>
        <v/>
      </c>
      <c r="Z70" s="604" t="str">
        <f t="shared" si="53"/>
        <v/>
      </c>
      <c r="AA70" s="604" t="str">
        <f t="shared" ref="AA70:AB70" si="54">IF(AA68&gt;0,AA68-AA35,"")</f>
        <v/>
      </c>
      <c r="AB70" s="604" t="str">
        <f t="shared" si="54"/>
        <v/>
      </c>
      <c r="AD70" s="49"/>
      <c r="AE70" s="798" t="str">
        <f>IFERROR(AVERAGE((L70-K70)/K70,(M70-L70)/L70,(N70-M70)/M70,(O70-N70)/N70,(P70-O70)/O70,(Q70-P70)/P70),"")</f>
        <v/>
      </c>
    </row>
    <row r="71" spans="1:31" ht="16.5" thickTop="1">
      <c r="B71" s="828" t="s">
        <v>390</v>
      </c>
      <c r="C71" s="829">
        <f>IFERROR(C70/C35,"")</f>
        <v>0.30815092402464067</v>
      </c>
      <c r="D71" s="829" t="str">
        <f t="shared" ref="D71:V71" si="55">IFERROR(D70/D35,"")</f>
        <v/>
      </c>
      <c r="E71" s="829" t="str">
        <f t="shared" si="55"/>
        <v/>
      </c>
      <c r="F71" s="829" t="str">
        <f t="shared" si="55"/>
        <v/>
      </c>
      <c r="G71" s="829" t="str">
        <f t="shared" si="55"/>
        <v/>
      </c>
      <c r="H71" s="829" t="str">
        <f t="shared" si="55"/>
        <v/>
      </c>
      <c r="I71" s="829" t="str">
        <f t="shared" si="55"/>
        <v/>
      </c>
      <c r="J71" s="829" t="str">
        <f t="shared" si="55"/>
        <v/>
      </c>
      <c r="K71" s="829" t="str">
        <f t="shared" si="55"/>
        <v/>
      </c>
      <c r="L71" s="829" t="str">
        <f t="shared" si="55"/>
        <v/>
      </c>
      <c r="M71" s="829" t="str">
        <f t="shared" si="55"/>
        <v/>
      </c>
      <c r="N71" s="829">
        <f t="shared" si="55"/>
        <v>0.47169760422453766</v>
      </c>
      <c r="O71" s="829">
        <f t="shared" si="55"/>
        <v>0.68113824949782553</v>
      </c>
      <c r="P71" s="829">
        <f t="shared" si="55"/>
        <v>0.62374269049703679</v>
      </c>
      <c r="Q71" s="829">
        <f t="shared" si="55"/>
        <v>0.82422882791385643</v>
      </c>
      <c r="R71" s="829">
        <f t="shared" si="55"/>
        <v>0.49805605604057496</v>
      </c>
      <c r="S71" s="829">
        <f t="shared" si="55"/>
        <v>0.48770222158175452</v>
      </c>
      <c r="T71" s="829">
        <f t="shared" si="55"/>
        <v>0.44689357423736903</v>
      </c>
      <c r="U71" s="829">
        <f t="shared" si="55"/>
        <v>0.67981333090578078</v>
      </c>
      <c r="V71" s="829">
        <f t="shared" si="55"/>
        <v>0.651104352348154</v>
      </c>
      <c r="W71" s="829" t="str">
        <f t="shared" ref="W71:X71" si="56">IFERROR(W70/W35,"")</f>
        <v/>
      </c>
      <c r="X71" s="829" t="str">
        <f t="shared" si="56"/>
        <v/>
      </c>
      <c r="Y71" s="829" t="str">
        <f t="shared" ref="Y71:Z71" si="57">IFERROR(Y70/Y35,"")</f>
        <v/>
      </c>
      <c r="Z71" s="829" t="str">
        <f t="shared" si="57"/>
        <v/>
      </c>
      <c r="AA71" s="829" t="str">
        <f t="shared" ref="AA71:AB71" si="58">IFERROR(AA70/AA35,"")</f>
        <v/>
      </c>
      <c r="AB71" s="829" t="str">
        <f t="shared" si="58"/>
        <v/>
      </c>
    </row>
    <row r="73" spans="1:31">
      <c r="B73" s="358" t="s">
        <v>391</v>
      </c>
    </row>
    <row r="74" spans="1:31">
      <c r="A74" s="218" t="s">
        <v>142</v>
      </c>
      <c r="B74" s="376" t="s">
        <v>392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31">
      <c r="L75" s="47"/>
    </row>
    <row r="105" spans="12:12">
      <c r="L105" s="47"/>
    </row>
    <row r="106" spans="12:12">
      <c r="L106" s="47"/>
    </row>
    <row r="107" spans="12:12">
      <c r="L107" s="47"/>
    </row>
    <row r="108" spans="12:12">
      <c r="L108" s="47"/>
    </row>
    <row r="109" spans="12:12">
      <c r="L109" s="47"/>
    </row>
    <row r="110" spans="12:12">
      <c r="L110" s="47"/>
    </row>
    <row r="111" spans="12:12">
      <c r="L111" s="47"/>
    </row>
    <row r="112" spans="12:12">
      <c r="L112" s="47"/>
    </row>
    <row r="113" spans="12:12">
      <c r="L113" s="47"/>
    </row>
    <row r="114" spans="12:12">
      <c r="L114" s="47"/>
    </row>
    <row r="115" spans="12:12">
      <c r="L115" s="47"/>
    </row>
    <row r="116" spans="12:12">
      <c r="L116" s="47"/>
    </row>
    <row r="117" spans="12:12">
      <c r="L117" s="47"/>
    </row>
  </sheetData>
  <phoneticPr fontId="40" type="noConversion"/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rowBreaks count="1" manualBreakCount="1">
    <brk id="36" max="24" man="1"/>
  </rowBreaks>
  <ignoredErrors>
    <ignoredError sqref="S9:V11 S23:V27 W9:W10 Y8:Y35 Z7:Z36 S13:V17 S20:V20 U18:V18 V19 U22:V22 S29:V29 V28 S32:V35 U30:V30 V31 W13:W17 W23:W27 W20:W21 W29 W32:W34 X32:X3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AI80"/>
  <sheetViews>
    <sheetView showGridLines="0" zoomScaleNormal="100" zoomScaleSheetLayoutView="110" workbookViewId="0">
      <pane xSplit="2" ySplit="6" topLeftCell="C7" activePane="bottomRight" state="frozen"/>
      <selection pane="bottomRight" activeCell="J14" sqref="J14"/>
      <selection pane="bottomLeft" activeCell="A7" sqref="A7"/>
      <selection pane="topRight" activeCell="B1" sqref="B1"/>
    </sheetView>
  </sheetViews>
  <sheetFormatPr defaultColWidth="8.75" defaultRowHeight="12"/>
  <cols>
    <col min="1" max="1" width="2.5" style="206" customWidth="1"/>
    <col min="2" max="2" width="22.625" style="32" customWidth="1"/>
    <col min="3" max="8" width="7.125" style="32" customWidth="1"/>
    <col min="9" max="11" width="8.125" style="46" customWidth="1"/>
    <col min="12" max="12" width="7.875" style="46" customWidth="1"/>
    <col min="13" max="13" width="7.875" style="47" customWidth="1"/>
    <col min="14" max="19" width="6.625" style="47" bestFit="1" customWidth="1"/>
    <col min="20" max="24" width="8.125" style="47" bestFit="1" customWidth="1"/>
    <col min="25" max="26" width="8.125" style="47" customWidth="1"/>
    <col min="27" max="27" width="1.625" style="49" customWidth="1"/>
    <col min="28" max="28" width="7.375" style="49" bestFit="1" customWidth="1"/>
    <col min="29" max="29" width="7.375" style="49" customWidth="1"/>
    <col min="30" max="30" width="9.75" style="49" bestFit="1" customWidth="1"/>
    <col min="31" max="34" width="6" style="49" bestFit="1" customWidth="1"/>
    <col min="35" max="35" width="11.125" style="49" customWidth="1"/>
    <col min="36" max="16384" width="8.75" style="49"/>
  </cols>
  <sheetData>
    <row r="1" spans="1:31" s="1" customFormat="1">
      <c r="A1" s="382"/>
      <c r="B1" s="38" t="str">
        <f>Summary!B1</f>
        <v>Municipality of Berkley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31" s="1" customFormat="1">
      <c r="A2" s="382"/>
      <c r="B2" s="5" t="s">
        <v>393</v>
      </c>
      <c r="C2" s="69"/>
      <c r="D2" s="69"/>
      <c r="E2" s="4"/>
      <c r="F2" s="4"/>
      <c r="G2" s="4"/>
      <c r="H2" s="4"/>
      <c r="I2" s="4"/>
      <c r="J2" s="4"/>
      <c r="K2" s="4"/>
      <c r="L2" s="4"/>
      <c r="M2" s="4"/>
    </row>
    <row r="3" spans="1:31">
      <c r="C3" s="3"/>
      <c r="D3" s="3"/>
      <c r="E3" s="3"/>
      <c r="F3" s="3"/>
      <c r="G3" s="3"/>
      <c r="AB3" s="75"/>
      <c r="AC3" s="75"/>
    </row>
    <row r="4" spans="1:31">
      <c r="C4" s="3"/>
      <c r="D4" s="3"/>
      <c r="E4" s="3"/>
      <c r="F4" s="3"/>
      <c r="G4" s="3"/>
      <c r="AC4" s="7"/>
    </row>
    <row r="5" spans="1:31" s="76" customFormat="1">
      <c r="A5" s="216"/>
      <c r="B5" s="77"/>
      <c r="C5" s="79" t="s">
        <v>82</v>
      </c>
      <c r="D5" s="79" t="s">
        <v>83</v>
      </c>
      <c r="E5" s="79" t="s">
        <v>84</v>
      </c>
      <c r="F5" s="79" t="s">
        <v>85</v>
      </c>
      <c r="G5" s="79" t="s">
        <v>86</v>
      </c>
      <c r="H5" s="79" t="s">
        <v>87</v>
      </c>
      <c r="I5" s="175" t="s">
        <v>88</v>
      </c>
      <c r="J5" s="175" t="s">
        <v>89</v>
      </c>
      <c r="K5" s="175" t="s">
        <v>90</v>
      </c>
      <c r="L5" s="175" t="s">
        <v>91</v>
      </c>
      <c r="M5" s="78" t="s">
        <v>92</v>
      </c>
      <c r="N5" s="78" t="s">
        <v>93</v>
      </c>
      <c r="O5" s="78" t="s">
        <v>94</v>
      </c>
      <c r="P5" s="78" t="s">
        <v>95</v>
      </c>
      <c r="Q5" s="78" t="s">
        <v>96</v>
      </c>
      <c r="R5" s="78" t="s">
        <v>97</v>
      </c>
      <c r="S5" s="78" t="s">
        <v>98</v>
      </c>
      <c r="T5" s="78" t="s">
        <v>99</v>
      </c>
      <c r="U5" s="78" t="s">
        <v>100</v>
      </c>
      <c r="V5" s="78" t="s">
        <v>101</v>
      </c>
      <c r="W5" s="78" t="s">
        <v>102</v>
      </c>
      <c r="X5" s="78" t="s">
        <v>103</v>
      </c>
      <c r="Y5" s="78" t="s">
        <v>104</v>
      </c>
      <c r="Z5" s="78" t="s">
        <v>105</v>
      </c>
      <c r="AB5" s="111" t="s">
        <v>212</v>
      </c>
      <c r="AC5" s="260" t="s">
        <v>157</v>
      </c>
    </row>
    <row r="6" spans="1:31" s="7" customFormat="1">
      <c r="A6" s="217"/>
      <c r="B6" s="723" t="s">
        <v>354</v>
      </c>
      <c r="C6" s="90" t="s">
        <v>158</v>
      </c>
      <c r="D6" s="90" t="s">
        <v>158</v>
      </c>
      <c r="E6" s="90" t="s">
        <v>158</v>
      </c>
      <c r="F6" s="90" t="s">
        <v>158</v>
      </c>
      <c r="G6" s="90" t="s">
        <v>158</v>
      </c>
      <c r="H6" s="90" t="s">
        <v>158</v>
      </c>
      <c r="I6" s="176" t="s">
        <v>158</v>
      </c>
      <c r="J6" s="176" t="s">
        <v>158</v>
      </c>
      <c r="K6" s="176" t="s">
        <v>158</v>
      </c>
      <c r="L6" s="176" t="s">
        <v>158</v>
      </c>
      <c r="M6" s="91" t="s">
        <v>158</v>
      </c>
      <c r="N6" s="91" t="s">
        <v>158</v>
      </c>
      <c r="O6" s="91" t="s">
        <v>158</v>
      </c>
      <c r="P6" s="91" t="s">
        <v>158</v>
      </c>
      <c r="Q6" s="91" t="s">
        <v>158</v>
      </c>
      <c r="R6" s="91" t="s">
        <v>158</v>
      </c>
      <c r="S6" s="91" t="s">
        <v>158</v>
      </c>
      <c r="T6" s="91" t="s">
        <v>158</v>
      </c>
      <c r="U6" s="80" t="s">
        <v>159</v>
      </c>
      <c r="V6" s="80" t="s">
        <v>159</v>
      </c>
      <c r="W6" s="80" t="s">
        <v>159</v>
      </c>
      <c r="X6" s="80" t="s">
        <v>159</v>
      </c>
      <c r="Y6" s="80" t="s">
        <v>159</v>
      </c>
      <c r="Z6" s="80" t="s">
        <v>159</v>
      </c>
      <c r="AB6" s="111" t="s">
        <v>213</v>
      </c>
      <c r="AC6" s="260" t="s">
        <v>160</v>
      </c>
    </row>
    <row r="7" spans="1:31">
      <c r="B7" s="84" t="s">
        <v>394</v>
      </c>
      <c r="C7" s="356">
        <v>0</v>
      </c>
      <c r="D7" s="356">
        <v>0</v>
      </c>
      <c r="E7" s="356">
        <v>0</v>
      </c>
      <c r="F7" s="356">
        <v>0</v>
      </c>
      <c r="G7" s="356">
        <v>0</v>
      </c>
      <c r="H7" s="356">
        <v>0</v>
      </c>
      <c r="I7" s="356">
        <v>0</v>
      </c>
      <c r="J7" s="356">
        <v>0</v>
      </c>
      <c r="K7" s="356">
        <v>0</v>
      </c>
      <c r="L7" s="356">
        <v>0</v>
      </c>
      <c r="M7" s="356">
        <v>0</v>
      </c>
      <c r="N7" s="356">
        <v>0</v>
      </c>
      <c r="O7" s="356">
        <v>0</v>
      </c>
      <c r="P7" s="356">
        <v>0</v>
      </c>
      <c r="Q7" s="601">
        <v>0</v>
      </c>
      <c r="R7" s="601">
        <v>0</v>
      </c>
      <c r="S7" s="601">
        <f t="shared" ref="S7:Z16" si="0">ROUND(R7*(1+$AC7),0)</f>
        <v>0</v>
      </c>
      <c r="T7" s="601">
        <f t="shared" si="0"/>
        <v>0</v>
      </c>
      <c r="U7" s="601">
        <f t="shared" si="0"/>
        <v>0</v>
      </c>
      <c r="V7" s="601">
        <f t="shared" si="0"/>
        <v>0</v>
      </c>
      <c r="W7" s="601">
        <f t="shared" si="0"/>
        <v>0</v>
      </c>
      <c r="X7" s="601">
        <f t="shared" si="0"/>
        <v>0</v>
      </c>
      <c r="Y7" s="601">
        <f t="shared" si="0"/>
        <v>0</v>
      </c>
      <c r="Z7" s="601">
        <f t="shared" si="0"/>
        <v>0</v>
      </c>
      <c r="AA7" s="82"/>
      <c r="AB7" s="8" t="str">
        <f t="shared" ref="AB7:AB17" si="1">IFERROR(AVERAGE((M7-L7)/L7,(N7-M7)/M7,(O7-N7)/N7,(P7-O7)/O7,(Q7-P7)/P7,(R7-Q7)/Q7),"")</f>
        <v/>
      </c>
      <c r="AC7" s="59">
        <v>0</v>
      </c>
      <c r="AE7" s="266" t="s">
        <v>356</v>
      </c>
    </row>
    <row r="8" spans="1:31">
      <c r="B8" s="84" t="s">
        <v>395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356">
        <v>0</v>
      </c>
      <c r="I8" s="356">
        <v>0</v>
      </c>
      <c r="J8" s="356">
        <v>0</v>
      </c>
      <c r="K8" s="356">
        <v>0</v>
      </c>
      <c r="L8" s="356">
        <v>0</v>
      </c>
      <c r="M8" s="356">
        <v>0</v>
      </c>
      <c r="N8" s="356">
        <v>0</v>
      </c>
      <c r="O8" s="356">
        <v>0</v>
      </c>
      <c r="P8" s="356">
        <v>0</v>
      </c>
      <c r="Q8" s="601">
        <v>0</v>
      </c>
      <c r="R8" s="601">
        <v>0</v>
      </c>
      <c r="S8" s="601">
        <f t="shared" si="0"/>
        <v>0</v>
      </c>
      <c r="T8" s="601">
        <f t="shared" si="0"/>
        <v>0</v>
      </c>
      <c r="U8" s="601">
        <f t="shared" si="0"/>
        <v>0</v>
      </c>
      <c r="V8" s="601">
        <f t="shared" si="0"/>
        <v>0</v>
      </c>
      <c r="W8" s="601">
        <f t="shared" si="0"/>
        <v>0</v>
      </c>
      <c r="X8" s="601">
        <f t="shared" si="0"/>
        <v>0</v>
      </c>
      <c r="Y8" s="601">
        <f t="shared" si="0"/>
        <v>0</v>
      </c>
      <c r="Z8" s="601">
        <f t="shared" si="0"/>
        <v>0</v>
      </c>
      <c r="AA8" s="82"/>
      <c r="AB8" s="8" t="str">
        <f t="shared" si="1"/>
        <v/>
      </c>
      <c r="AC8" s="59">
        <v>0</v>
      </c>
    </row>
    <row r="9" spans="1:31">
      <c r="B9" s="84" t="s">
        <v>396</v>
      </c>
      <c r="C9" s="356">
        <v>0</v>
      </c>
      <c r="D9" s="356">
        <v>0</v>
      </c>
      <c r="E9" s="356">
        <v>0</v>
      </c>
      <c r="F9" s="356">
        <v>0</v>
      </c>
      <c r="G9" s="356">
        <v>0</v>
      </c>
      <c r="H9" s="356">
        <v>0</v>
      </c>
      <c r="I9" s="356">
        <v>0</v>
      </c>
      <c r="J9" s="356">
        <v>0</v>
      </c>
      <c r="K9" s="356">
        <v>0</v>
      </c>
      <c r="L9" s="356">
        <v>0</v>
      </c>
      <c r="M9" s="356">
        <v>0</v>
      </c>
      <c r="N9" s="356">
        <v>0</v>
      </c>
      <c r="O9" s="356">
        <v>0</v>
      </c>
      <c r="P9" s="356">
        <v>0</v>
      </c>
      <c r="Q9" s="601">
        <v>0</v>
      </c>
      <c r="R9" s="601">
        <v>0</v>
      </c>
      <c r="S9" s="601">
        <f t="shared" si="0"/>
        <v>0</v>
      </c>
      <c r="T9" s="601">
        <f t="shared" si="0"/>
        <v>0</v>
      </c>
      <c r="U9" s="601">
        <f t="shared" si="0"/>
        <v>0</v>
      </c>
      <c r="V9" s="601">
        <f t="shared" si="0"/>
        <v>0</v>
      </c>
      <c r="W9" s="601">
        <f t="shared" si="0"/>
        <v>0</v>
      </c>
      <c r="X9" s="601">
        <f t="shared" si="0"/>
        <v>0</v>
      </c>
      <c r="Y9" s="601">
        <f t="shared" si="0"/>
        <v>0</v>
      </c>
      <c r="Z9" s="601">
        <f t="shared" si="0"/>
        <v>0</v>
      </c>
      <c r="AB9" s="8" t="str">
        <f t="shared" si="1"/>
        <v/>
      </c>
      <c r="AC9" s="59">
        <v>0</v>
      </c>
    </row>
    <row r="10" spans="1:31">
      <c r="B10" s="84" t="s">
        <v>397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6">
        <v>0</v>
      </c>
      <c r="J10" s="356">
        <v>0</v>
      </c>
      <c r="K10" s="356">
        <v>0</v>
      </c>
      <c r="L10" s="356">
        <v>0</v>
      </c>
      <c r="M10" s="356">
        <v>0</v>
      </c>
      <c r="N10" s="356">
        <v>0</v>
      </c>
      <c r="O10" s="356">
        <v>0</v>
      </c>
      <c r="P10" s="356">
        <v>0</v>
      </c>
      <c r="Q10" s="601">
        <v>0</v>
      </c>
      <c r="R10" s="601">
        <v>0</v>
      </c>
      <c r="S10" s="601">
        <f t="shared" si="0"/>
        <v>0</v>
      </c>
      <c r="T10" s="601">
        <f t="shared" si="0"/>
        <v>0</v>
      </c>
      <c r="U10" s="601">
        <f t="shared" si="0"/>
        <v>0</v>
      </c>
      <c r="V10" s="601">
        <f t="shared" si="0"/>
        <v>0</v>
      </c>
      <c r="W10" s="601">
        <f t="shared" si="0"/>
        <v>0</v>
      </c>
      <c r="X10" s="601">
        <f t="shared" si="0"/>
        <v>0</v>
      </c>
      <c r="Y10" s="601">
        <f t="shared" si="0"/>
        <v>0</v>
      </c>
      <c r="Z10" s="601">
        <f t="shared" si="0"/>
        <v>0</v>
      </c>
      <c r="AB10" s="8" t="str">
        <f t="shared" si="1"/>
        <v/>
      </c>
      <c r="AC10" s="59">
        <v>0</v>
      </c>
    </row>
    <row r="11" spans="1:31">
      <c r="B11" s="81" t="s">
        <v>398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  <c r="I11" s="356">
        <v>0</v>
      </c>
      <c r="J11" s="356">
        <v>0</v>
      </c>
      <c r="K11" s="356">
        <v>0</v>
      </c>
      <c r="L11" s="356">
        <v>0</v>
      </c>
      <c r="M11" s="356">
        <v>0</v>
      </c>
      <c r="N11" s="356">
        <v>0</v>
      </c>
      <c r="O11" s="356">
        <v>0</v>
      </c>
      <c r="P11" s="356">
        <v>0</v>
      </c>
      <c r="Q11" s="601">
        <v>0</v>
      </c>
      <c r="R11" s="601">
        <v>0</v>
      </c>
      <c r="S11" s="601">
        <f t="shared" si="0"/>
        <v>0</v>
      </c>
      <c r="T11" s="601">
        <f t="shared" si="0"/>
        <v>0</v>
      </c>
      <c r="U11" s="601">
        <f t="shared" si="0"/>
        <v>0</v>
      </c>
      <c r="V11" s="601">
        <f t="shared" si="0"/>
        <v>0</v>
      </c>
      <c r="W11" s="601">
        <f t="shared" si="0"/>
        <v>0</v>
      </c>
      <c r="X11" s="601">
        <f t="shared" si="0"/>
        <v>0</v>
      </c>
      <c r="Y11" s="601">
        <f t="shared" si="0"/>
        <v>0</v>
      </c>
      <c r="Z11" s="601">
        <f t="shared" si="0"/>
        <v>0</v>
      </c>
      <c r="AA11" s="82"/>
      <c r="AB11" s="8" t="str">
        <f t="shared" si="1"/>
        <v/>
      </c>
      <c r="AC11" s="59">
        <v>0</v>
      </c>
    </row>
    <row r="12" spans="1:31">
      <c r="B12" s="81" t="s">
        <v>399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0</v>
      </c>
      <c r="O12" s="356">
        <v>0</v>
      </c>
      <c r="P12" s="356">
        <v>0</v>
      </c>
      <c r="Q12" s="601">
        <v>0</v>
      </c>
      <c r="R12" s="601">
        <v>0</v>
      </c>
      <c r="S12" s="601">
        <f t="shared" si="0"/>
        <v>0</v>
      </c>
      <c r="T12" s="601">
        <f t="shared" si="0"/>
        <v>0</v>
      </c>
      <c r="U12" s="601">
        <f t="shared" si="0"/>
        <v>0</v>
      </c>
      <c r="V12" s="601">
        <f t="shared" si="0"/>
        <v>0</v>
      </c>
      <c r="W12" s="601">
        <f t="shared" si="0"/>
        <v>0</v>
      </c>
      <c r="X12" s="601">
        <f t="shared" si="0"/>
        <v>0</v>
      </c>
      <c r="Y12" s="601">
        <f t="shared" si="0"/>
        <v>0</v>
      </c>
      <c r="Z12" s="601">
        <f t="shared" si="0"/>
        <v>0</v>
      </c>
      <c r="AA12" s="82"/>
      <c r="AB12" s="8" t="str">
        <f t="shared" si="1"/>
        <v/>
      </c>
      <c r="AC12" s="59">
        <v>0</v>
      </c>
    </row>
    <row r="13" spans="1:31">
      <c r="B13" s="84">
        <v>7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  <c r="O13" s="356">
        <v>0</v>
      </c>
      <c r="P13" s="356">
        <v>0</v>
      </c>
      <c r="Q13" s="601">
        <v>0</v>
      </c>
      <c r="R13" s="601">
        <v>0</v>
      </c>
      <c r="S13" s="601">
        <f t="shared" si="0"/>
        <v>0</v>
      </c>
      <c r="T13" s="601">
        <f t="shared" si="0"/>
        <v>0</v>
      </c>
      <c r="U13" s="601">
        <f t="shared" si="0"/>
        <v>0</v>
      </c>
      <c r="V13" s="601">
        <f t="shared" si="0"/>
        <v>0</v>
      </c>
      <c r="W13" s="601">
        <f t="shared" si="0"/>
        <v>0</v>
      </c>
      <c r="X13" s="601">
        <f t="shared" si="0"/>
        <v>0</v>
      </c>
      <c r="Y13" s="601">
        <f t="shared" si="0"/>
        <v>0</v>
      </c>
      <c r="Z13" s="601">
        <f t="shared" si="0"/>
        <v>0</v>
      </c>
      <c r="AA13" s="82"/>
      <c r="AB13" s="8" t="str">
        <f t="shared" si="1"/>
        <v/>
      </c>
      <c r="AC13" s="59">
        <v>0</v>
      </c>
    </row>
    <row r="14" spans="1:31">
      <c r="B14" s="84">
        <v>8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  <c r="Q14" s="601">
        <v>0</v>
      </c>
      <c r="R14" s="601">
        <v>0</v>
      </c>
      <c r="S14" s="601">
        <f t="shared" si="0"/>
        <v>0</v>
      </c>
      <c r="T14" s="601">
        <f t="shared" si="0"/>
        <v>0</v>
      </c>
      <c r="U14" s="601">
        <f t="shared" si="0"/>
        <v>0</v>
      </c>
      <c r="V14" s="601">
        <f t="shared" si="0"/>
        <v>0</v>
      </c>
      <c r="W14" s="601">
        <f t="shared" si="0"/>
        <v>0</v>
      </c>
      <c r="X14" s="601">
        <f t="shared" si="0"/>
        <v>0</v>
      </c>
      <c r="Y14" s="601">
        <f t="shared" si="0"/>
        <v>0</v>
      </c>
      <c r="Z14" s="601">
        <f t="shared" si="0"/>
        <v>0</v>
      </c>
      <c r="AA14" s="82"/>
      <c r="AB14" s="8" t="str">
        <f t="shared" si="1"/>
        <v/>
      </c>
      <c r="AC14" s="59">
        <v>0</v>
      </c>
    </row>
    <row r="15" spans="1:31">
      <c r="B15" s="84">
        <v>9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356">
        <v>0</v>
      </c>
      <c r="Q15" s="601">
        <v>0</v>
      </c>
      <c r="R15" s="601">
        <v>0</v>
      </c>
      <c r="S15" s="601">
        <f t="shared" si="0"/>
        <v>0</v>
      </c>
      <c r="T15" s="601">
        <f t="shared" si="0"/>
        <v>0</v>
      </c>
      <c r="U15" s="601">
        <f t="shared" si="0"/>
        <v>0</v>
      </c>
      <c r="V15" s="601">
        <f t="shared" si="0"/>
        <v>0</v>
      </c>
      <c r="W15" s="601">
        <f t="shared" si="0"/>
        <v>0</v>
      </c>
      <c r="X15" s="601">
        <f t="shared" si="0"/>
        <v>0</v>
      </c>
      <c r="Y15" s="601">
        <f t="shared" si="0"/>
        <v>0</v>
      </c>
      <c r="Z15" s="601">
        <f t="shared" si="0"/>
        <v>0</v>
      </c>
      <c r="AA15" s="82"/>
      <c r="AB15" s="8" t="str">
        <f t="shared" si="1"/>
        <v/>
      </c>
      <c r="AC15" s="59">
        <v>0</v>
      </c>
    </row>
    <row r="16" spans="1:31">
      <c r="B16" s="84">
        <v>10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601">
        <v>0</v>
      </c>
      <c r="R16" s="601">
        <v>0</v>
      </c>
      <c r="S16" s="601">
        <f t="shared" si="0"/>
        <v>0</v>
      </c>
      <c r="T16" s="601">
        <f t="shared" si="0"/>
        <v>0</v>
      </c>
      <c r="U16" s="601">
        <f t="shared" si="0"/>
        <v>0</v>
      </c>
      <c r="V16" s="601">
        <f t="shared" si="0"/>
        <v>0</v>
      </c>
      <c r="W16" s="601">
        <f t="shared" si="0"/>
        <v>0</v>
      </c>
      <c r="X16" s="601">
        <f t="shared" si="0"/>
        <v>0</v>
      </c>
      <c r="Y16" s="601">
        <f t="shared" si="0"/>
        <v>0</v>
      </c>
      <c r="Z16" s="601">
        <f t="shared" si="0"/>
        <v>0</v>
      </c>
      <c r="AA16" s="82"/>
      <c r="AB16" s="8" t="str">
        <f t="shared" si="1"/>
        <v/>
      </c>
      <c r="AC16" s="59">
        <v>0</v>
      </c>
    </row>
    <row r="17" spans="1:31" s="32" customFormat="1">
      <c r="A17" s="383" t="s">
        <v>142</v>
      </c>
      <c r="B17" s="473" t="s">
        <v>400</v>
      </c>
      <c r="C17" s="618">
        <f t="shared" ref="C17:V17" si="2">SUM(C7:C16)</f>
        <v>0</v>
      </c>
      <c r="D17" s="618">
        <f t="shared" si="2"/>
        <v>0</v>
      </c>
      <c r="E17" s="618">
        <f t="shared" si="2"/>
        <v>0</v>
      </c>
      <c r="F17" s="618">
        <f t="shared" si="2"/>
        <v>0</v>
      </c>
      <c r="G17" s="618">
        <f t="shared" si="2"/>
        <v>0</v>
      </c>
      <c r="H17" s="618">
        <f t="shared" si="2"/>
        <v>0</v>
      </c>
      <c r="I17" s="619">
        <f t="shared" si="2"/>
        <v>0</v>
      </c>
      <c r="J17" s="619">
        <f t="shared" si="2"/>
        <v>0</v>
      </c>
      <c r="K17" s="619">
        <f t="shared" si="2"/>
        <v>0</v>
      </c>
      <c r="L17" s="619">
        <f t="shared" si="2"/>
        <v>0</v>
      </c>
      <c r="M17" s="619">
        <f t="shared" si="2"/>
        <v>0</v>
      </c>
      <c r="N17" s="619">
        <f t="shared" si="2"/>
        <v>0</v>
      </c>
      <c r="O17" s="619">
        <f t="shared" si="2"/>
        <v>0</v>
      </c>
      <c r="P17" s="619">
        <f t="shared" si="2"/>
        <v>0</v>
      </c>
      <c r="Q17" s="619">
        <f t="shared" si="2"/>
        <v>0</v>
      </c>
      <c r="R17" s="619">
        <f t="shared" si="2"/>
        <v>0</v>
      </c>
      <c r="S17" s="619">
        <f t="shared" si="2"/>
        <v>0</v>
      </c>
      <c r="T17" s="619">
        <f t="shared" si="2"/>
        <v>0</v>
      </c>
      <c r="U17" s="619">
        <f t="shared" si="2"/>
        <v>0</v>
      </c>
      <c r="V17" s="619">
        <f t="shared" si="2"/>
        <v>0</v>
      </c>
      <c r="W17" s="619">
        <f t="shared" ref="W17:X17" si="3">SUM(W7:W16)</f>
        <v>0</v>
      </c>
      <c r="X17" s="619">
        <f t="shared" si="3"/>
        <v>0</v>
      </c>
      <c r="Y17" s="619">
        <f t="shared" ref="Y17:Z17" si="4">SUM(Y7:Y16)</f>
        <v>0</v>
      </c>
      <c r="Z17" s="619">
        <f t="shared" si="4"/>
        <v>0</v>
      </c>
      <c r="AB17" s="8" t="str">
        <f t="shared" si="1"/>
        <v/>
      </c>
      <c r="AC17" s="88"/>
    </row>
    <row r="18" spans="1:31" s="32" customFormat="1">
      <c r="A18" s="383"/>
      <c r="B18" s="828" t="s">
        <v>385</v>
      </c>
      <c r="C18" s="830"/>
      <c r="D18" s="830" t="str">
        <f t="shared" ref="D18:Z18" si="5">IFERROR(D17/C32,"")</f>
        <v/>
      </c>
      <c r="E18" s="830" t="str">
        <f t="shared" si="5"/>
        <v/>
      </c>
      <c r="F18" s="830" t="str">
        <f t="shared" si="5"/>
        <v/>
      </c>
      <c r="G18" s="830" t="str">
        <f t="shared" si="5"/>
        <v/>
      </c>
      <c r="H18" s="830" t="str">
        <f t="shared" si="5"/>
        <v/>
      </c>
      <c r="I18" s="830" t="str">
        <f t="shared" si="5"/>
        <v/>
      </c>
      <c r="J18" s="830" t="str">
        <f t="shared" si="5"/>
        <v/>
      </c>
      <c r="K18" s="830" t="str">
        <f t="shared" si="5"/>
        <v/>
      </c>
      <c r="L18" s="830" t="str">
        <f t="shared" si="5"/>
        <v/>
      </c>
      <c r="M18" s="830" t="str">
        <f t="shared" si="5"/>
        <v/>
      </c>
      <c r="N18" s="830" t="str">
        <f t="shared" si="5"/>
        <v/>
      </c>
      <c r="O18" s="830" t="str">
        <f t="shared" si="5"/>
        <v/>
      </c>
      <c r="P18" s="830" t="str">
        <f t="shared" si="5"/>
        <v/>
      </c>
      <c r="Q18" s="830" t="str">
        <f t="shared" si="5"/>
        <v/>
      </c>
      <c r="R18" s="830" t="str">
        <f t="shared" si="5"/>
        <v/>
      </c>
      <c r="S18" s="830" t="str">
        <f t="shared" si="5"/>
        <v/>
      </c>
      <c r="T18" s="830" t="str">
        <f t="shared" si="5"/>
        <v/>
      </c>
      <c r="U18" s="830" t="str">
        <f t="shared" si="5"/>
        <v/>
      </c>
      <c r="V18" s="830" t="str">
        <f t="shared" si="5"/>
        <v/>
      </c>
      <c r="W18" s="830" t="str">
        <f t="shared" si="5"/>
        <v/>
      </c>
      <c r="X18" s="830" t="str">
        <f t="shared" si="5"/>
        <v/>
      </c>
      <c r="Y18" s="830" t="str">
        <f t="shared" si="5"/>
        <v/>
      </c>
      <c r="Z18" s="830" t="str">
        <f t="shared" si="5"/>
        <v/>
      </c>
      <c r="AB18" s="88"/>
      <c r="AC18" s="88"/>
    </row>
    <row r="19" spans="1:31">
      <c r="C19" s="20"/>
      <c r="D19" s="20"/>
      <c r="E19" s="20"/>
      <c r="F19" s="20"/>
      <c r="G19" s="20"/>
      <c r="H19" s="20"/>
      <c r="I19" s="208"/>
      <c r="J19" s="208"/>
      <c r="K19" s="208"/>
      <c r="L19" s="208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56"/>
      <c r="AC19" s="89"/>
      <c r="AD19" s="89"/>
    </row>
    <row r="20" spans="1:31" s="76" customFormat="1">
      <c r="A20" s="216"/>
      <c r="B20" s="90"/>
      <c r="C20" s="605" t="s">
        <v>82</v>
      </c>
      <c r="D20" s="605" t="s">
        <v>83</v>
      </c>
      <c r="E20" s="605" t="s">
        <v>84</v>
      </c>
      <c r="F20" s="605" t="s">
        <v>85</v>
      </c>
      <c r="G20" s="605" t="s">
        <v>86</v>
      </c>
      <c r="H20" s="605" t="s">
        <v>87</v>
      </c>
      <c r="I20" s="606" t="s">
        <v>88</v>
      </c>
      <c r="J20" s="606" t="s">
        <v>89</v>
      </c>
      <c r="K20" s="606" t="s">
        <v>90</v>
      </c>
      <c r="L20" s="606" t="s">
        <v>91</v>
      </c>
      <c r="M20" s="607" t="s">
        <v>92</v>
      </c>
      <c r="N20" s="607" t="s">
        <v>93</v>
      </c>
      <c r="O20" s="607" t="s">
        <v>94</v>
      </c>
      <c r="P20" s="607" t="s">
        <v>95</v>
      </c>
      <c r="Q20" s="607" t="s">
        <v>96</v>
      </c>
      <c r="R20" s="607" t="s">
        <v>97</v>
      </c>
      <c r="S20" s="607" t="s">
        <v>98</v>
      </c>
      <c r="T20" s="607" t="s">
        <v>99</v>
      </c>
      <c r="U20" s="607" t="s">
        <v>100</v>
      </c>
      <c r="V20" s="607" t="s">
        <v>101</v>
      </c>
      <c r="W20" s="607" t="s">
        <v>102</v>
      </c>
      <c r="X20" s="607" t="s">
        <v>103</v>
      </c>
      <c r="Y20" s="607" t="s">
        <v>104</v>
      </c>
      <c r="Z20" s="607" t="s">
        <v>105</v>
      </c>
      <c r="AB20" s="111" t="s">
        <v>212</v>
      </c>
      <c r="AC20" s="89"/>
    </row>
    <row r="21" spans="1:31" s="7" customFormat="1">
      <c r="A21" s="217"/>
      <c r="B21" s="723" t="s">
        <v>386</v>
      </c>
      <c r="C21" s="608" t="s">
        <v>387</v>
      </c>
      <c r="D21" s="608" t="s">
        <v>387</v>
      </c>
      <c r="E21" s="608" t="s">
        <v>387</v>
      </c>
      <c r="F21" s="608" t="s">
        <v>387</v>
      </c>
      <c r="G21" s="608" t="s">
        <v>387</v>
      </c>
      <c r="H21" s="608" t="s">
        <v>387</v>
      </c>
      <c r="I21" s="609" t="s">
        <v>387</v>
      </c>
      <c r="J21" s="609" t="s">
        <v>387</v>
      </c>
      <c r="K21" s="609" t="s">
        <v>387</v>
      </c>
      <c r="L21" s="609" t="s">
        <v>387</v>
      </c>
      <c r="M21" s="610" t="s">
        <v>387</v>
      </c>
      <c r="N21" s="610" t="s">
        <v>387</v>
      </c>
      <c r="O21" s="610" t="s">
        <v>387</v>
      </c>
      <c r="P21" s="610" t="s">
        <v>387</v>
      </c>
      <c r="Q21" s="610" t="s">
        <v>387</v>
      </c>
      <c r="R21" s="610" t="s">
        <v>387</v>
      </c>
      <c r="S21" s="610" t="s">
        <v>387</v>
      </c>
      <c r="T21" s="610" t="s">
        <v>387</v>
      </c>
      <c r="U21" s="610" t="s">
        <v>387</v>
      </c>
      <c r="V21" s="610" t="s">
        <v>387</v>
      </c>
      <c r="W21" s="610" t="s">
        <v>387</v>
      </c>
      <c r="X21" s="610" t="s">
        <v>387</v>
      </c>
      <c r="Y21" s="610" t="s">
        <v>387</v>
      </c>
      <c r="Z21" s="610" t="s">
        <v>387</v>
      </c>
      <c r="AB21" s="111" t="s">
        <v>213</v>
      </c>
      <c r="AC21" s="89"/>
    </row>
    <row r="22" spans="1:31">
      <c r="B22" s="84" t="s">
        <v>394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0</v>
      </c>
      <c r="O22" s="356">
        <v>0</v>
      </c>
      <c r="P22" s="356">
        <v>0</v>
      </c>
      <c r="Q22" s="601">
        <v>0</v>
      </c>
      <c r="R22" s="601">
        <v>0</v>
      </c>
      <c r="S22" s="601">
        <v>0</v>
      </c>
      <c r="T22" s="601">
        <v>0</v>
      </c>
      <c r="U22" s="601">
        <v>0</v>
      </c>
      <c r="V22" s="601">
        <v>0</v>
      </c>
      <c r="W22" s="601">
        <v>0</v>
      </c>
      <c r="X22" s="601">
        <v>0</v>
      </c>
      <c r="Y22" s="601">
        <v>0</v>
      </c>
      <c r="Z22" s="601">
        <v>0</v>
      </c>
      <c r="AA22" s="82"/>
      <c r="AB22" s="8" t="str">
        <f t="shared" ref="AB22:AB32" si="6">IFERROR(AVERAGE((L22-K22)/K22,(M22-L22)/L22,(N22-M22)/M22,(O22-N22)/N22,(P22-O22)/O22,(Q22-P22)/P22),"")</f>
        <v/>
      </c>
      <c r="AC22" s="89"/>
      <c r="AE22" s="85"/>
    </row>
    <row r="23" spans="1:31">
      <c r="B23" s="84" t="s">
        <v>395</v>
      </c>
      <c r="C23" s="356">
        <v>0</v>
      </c>
      <c r="D23" s="356">
        <v>0</v>
      </c>
      <c r="E23" s="356">
        <v>0</v>
      </c>
      <c r="F23" s="356">
        <v>0</v>
      </c>
      <c r="G23" s="356">
        <v>0</v>
      </c>
      <c r="H23" s="356">
        <v>0</v>
      </c>
      <c r="I23" s="356">
        <v>0</v>
      </c>
      <c r="J23" s="356">
        <v>0</v>
      </c>
      <c r="K23" s="356">
        <v>0</v>
      </c>
      <c r="L23" s="356">
        <v>0</v>
      </c>
      <c r="M23" s="356">
        <v>0</v>
      </c>
      <c r="N23" s="356">
        <v>0</v>
      </c>
      <c r="O23" s="356">
        <v>0</v>
      </c>
      <c r="P23" s="356">
        <v>0</v>
      </c>
      <c r="Q23" s="601">
        <v>0</v>
      </c>
      <c r="R23" s="601">
        <v>0</v>
      </c>
      <c r="S23" s="601">
        <v>0</v>
      </c>
      <c r="T23" s="601">
        <v>0</v>
      </c>
      <c r="U23" s="601">
        <v>0</v>
      </c>
      <c r="V23" s="601">
        <v>0</v>
      </c>
      <c r="W23" s="601">
        <v>0</v>
      </c>
      <c r="X23" s="601">
        <v>0</v>
      </c>
      <c r="Y23" s="601">
        <v>0</v>
      </c>
      <c r="Z23" s="601">
        <v>0</v>
      </c>
      <c r="AA23" s="82"/>
      <c r="AB23" s="8" t="str">
        <f t="shared" si="6"/>
        <v/>
      </c>
      <c r="AC23" s="89"/>
    </row>
    <row r="24" spans="1:31">
      <c r="B24" s="84" t="s">
        <v>396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601">
        <v>0</v>
      </c>
      <c r="R24" s="601">
        <v>0</v>
      </c>
      <c r="S24" s="601">
        <v>0</v>
      </c>
      <c r="T24" s="601">
        <v>0</v>
      </c>
      <c r="U24" s="601">
        <v>0</v>
      </c>
      <c r="V24" s="601">
        <v>0</v>
      </c>
      <c r="W24" s="601">
        <v>0</v>
      </c>
      <c r="X24" s="601">
        <v>0</v>
      </c>
      <c r="Y24" s="601">
        <v>0</v>
      </c>
      <c r="Z24" s="601">
        <v>0</v>
      </c>
      <c r="AB24" s="8" t="str">
        <f t="shared" si="6"/>
        <v/>
      </c>
      <c r="AC24" s="89"/>
    </row>
    <row r="25" spans="1:31">
      <c r="B25" s="84" t="s">
        <v>397</v>
      </c>
      <c r="C25" s="356">
        <v>0</v>
      </c>
      <c r="D25" s="356">
        <v>0</v>
      </c>
      <c r="E25" s="356">
        <v>0</v>
      </c>
      <c r="F25" s="356">
        <v>0</v>
      </c>
      <c r="G25" s="356">
        <v>0</v>
      </c>
      <c r="H25" s="356">
        <v>0</v>
      </c>
      <c r="I25" s="356">
        <v>0</v>
      </c>
      <c r="J25" s="356">
        <v>0</v>
      </c>
      <c r="K25" s="356">
        <v>0</v>
      </c>
      <c r="L25" s="356">
        <v>0</v>
      </c>
      <c r="M25" s="356">
        <v>0</v>
      </c>
      <c r="N25" s="356">
        <v>0</v>
      </c>
      <c r="O25" s="356">
        <v>0</v>
      </c>
      <c r="P25" s="356">
        <v>0</v>
      </c>
      <c r="Q25" s="601">
        <v>0</v>
      </c>
      <c r="R25" s="601">
        <v>0</v>
      </c>
      <c r="S25" s="601">
        <v>0</v>
      </c>
      <c r="T25" s="601">
        <v>0</v>
      </c>
      <c r="U25" s="601">
        <v>0</v>
      </c>
      <c r="V25" s="601">
        <v>0</v>
      </c>
      <c r="W25" s="601">
        <v>0</v>
      </c>
      <c r="X25" s="601">
        <v>0</v>
      </c>
      <c r="Y25" s="601">
        <v>0</v>
      </c>
      <c r="Z25" s="601">
        <v>0</v>
      </c>
      <c r="AB25" s="8" t="str">
        <f t="shared" si="6"/>
        <v/>
      </c>
      <c r="AC25" s="89"/>
    </row>
    <row r="26" spans="1:31">
      <c r="B26" s="81" t="s">
        <v>398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601">
        <v>0</v>
      </c>
      <c r="R26" s="601">
        <v>0</v>
      </c>
      <c r="S26" s="601">
        <v>0</v>
      </c>
      <c r="T26" s="601">
        <v>0</v>
      </c>
      <c r="U26" s="601">
        <v>0</v>
      </c>
      <c r="V26" s="601">
        <v>0</v>
      </c>
      <c r="W26" s="601">
        <v>0</v>
      </c>
      <c r="X26" s="601">
        <v>0</v>
      </c>
      <c r="Y26" s="601">
        <v>0</v>
      </c>
      <c r="Z26" s="601">
        <v>0</v>
      </c>
      <c r="AA26" s="82"/>
      <c r="AB26" s="8" t="str">
        <f t="shared" si="6"/>
        <v/>
      </c>
      <c r="AC26" s="89"/>
    </row>
    <row r="27" spans="1:31">
      <c r="B27" s="81" t="s">
        <v>399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6">
        <v>0</v>
      </c>
      <c r="J27" s="356">
        <v>0</v>
      </c>
      <c r="K27" s="356">
        <v>0</v>
      </c>
      <c r="L27" s="356">
        <v>0</v>
      </c>
      <c r="M27" s="356">
        <v>0</v>
      </c>
      <c r="N27" s="356">
        <v>0</v>
      </c>
      <c r="O27" s="356">
        <v>0</v>
      </c>
      <c r="P27" s="356">
        <v>0</v>
      </c>
      <c r="Q27" s="601">
        <v>0</v>
      </c>
      <c r="R27" s="601">
        <v>0</v>
      </c>
      <c r="S27" s="601">
        <v>0</v>
      </c>
      <c r="T27" s="601">
        <v>0</v>
      </c>
      <c r="U27" s="601">
        <v>0</v>
      </c>
      <c r="V27" s="601">
        <v>0</v>
      </c>
      <c r="W27" s="601">
        <v>0</v>
      </c>
      <c r="X27" s="601">
        <v>0</v>
      </c>
      <c r="Y27" s="601">
        <v>0</v>
      </c>
      <c r="Z27" s="601">
        <v>0</v>
      </c>
      <c r="AA27" s="82"/>
      <c r="AB27" s="8" t="str">
        <f t="shared" si="6"/>
        <v/>
      </c>
      <c r="AC27" s="89"/>
    </row>
    <row r="28" spans="1:31">
      <c r="B28" s="84">
        <v>7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601">
        <v>0</v>
      </c>
      <c r="R28" s="601">
        <v>0</v>
      </c>
      <c r="S28" s="601">
        <v>0</v>
      </c>
      <c r="T28" s="601">
        <v>0</v>
      </c>
      <c r="U28" s="601">
        <v>0</v>
      </c>
      <c r="V28" s="601">
        <v>0</v>
      </c>
      <c r="W28" s="601">
        <v>0</v>
      </c>
      <c r="X28" s="601">
        <v>0</v>
      </c>
      <c r="Y28" s="601">
        <v>0</v>
      </c>
      <c r="Z28" s="601">
        <v>0</v>
      </c>
      <c r="AA28" s="82"/>
      <c r="AB28" s="8" t="str">
        <f t="shared" si="6"/>
        <v/>
      </c>
      <c r="AC28" s="89"/>
    </row>
    <row r="29" spans="1:31">
      <c r="B29" s="84">
        <v>8</v>
      </c>
      <c r="C29" s="356">
        <v>0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6">
        <v>0</v>
      </c>
      <c r="J29" s="356">
        <v>0</v>
      </c>
      <c r="K29" s="356">
        <v>0</v>
      </c>
      <c r="L29" s="356">
        <v>0</v>
      </c>
      <c r="M29" s="356">
        <v>0</v>
      </c>
      <c r="N29" s="356">
        <v>0</v>
      </c>
      <c r="O29" s="356">
        <v>0</v>
      </c>
      <c r="P29" s="356">
        <v>0</v>
      </c>
      <c r="Q29" s="601">
        <v>0</v>
      </c>
      <c r="R29" s="601">
        <v>0</v>
      </c>
      <c r="S29" s="601">
        <v>0</v>
      </c>
      <c r="T29" s="601">
        <v>0</v>
      </c>
      <c r="U29" s="601">
        <v>0</v>
      </c>
      <c r="V29" s="601">
        <v>0</v>
      </c>
      <c r="W29" s="601">
        <v>0</v>
      </c>
      <c r="X29" s="601">
        <v>0</v>
      </c>
      <c r="Y29" s="601">
        <v>0</v>
      </c>
      <c r="Z29" s="601">
        <v>0</v>
      </c>
      <c r="AA29" s="82"/>
      <c r="AB29" s="8" t="str">
        <f t="shared" si="6"/>
        <v/>
      </c>
      <c r="AC29" s="89"/>
    </row>
    <row r="30" spans="1:31">
      <c r="B30" s="84">
        <v>9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0</v>
      </c>
      <c r="O30" s="356">
        <v>0</v>
      </c>
      <c r="P30" s="356">
        <v>0</v>
      </c>
      <c r="Q30" s="601">
        <v>0</v>
      </c>
      <c r="R30" s="601">
        <v>0</v>
      </c>
      <c r="S30" s="601">
        <v>0</v>
      </c>
      <c r="T30" s="601">
        <v>0</v>
      </c>
      <c r="U30" s="601">
        <v>0</v>
      </c>
      <c r="V30" s="601">
        <v>0</v>
      </c>
      <c r="W30" s="601">
        <v>0</v>
      </c>
      <c r="X30" s="601">
        <v>0</v>
      </c>
      <c r="Y30" s="601">
        <v>0</v>
      </c>
      <c r="Z30" s="601">
        <v>0</v>
      </c>
      <c r="AA30" s="82"/>
      <c r="AB30" s="8" t="str">
        <f t="shared" si="6"/>
        <v/>
      </c>
      <c r="AC30" s="89"/>
    </row>
    <row r="31" spans="1:31">
      <c r="B31" s="84">
        <v>10</v>
      </c>
      <c r="C31" s="356">
        <v>0</v>
      </c>
      <c r="D31" s="356">
        <v>0</v>
      </c>
      <c r="E31" s="356">
        <v>0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356">
        <v>0</v>
      </c>
      <c r="L31" s="356">
        <v>0</v>
      </c>
      <c r="M31" s="356">
        <v>0</v>
      </c>
      <c r="N31" s="356">
        <v>0</v>
      </c>
      <c r="O31" s="356">
        <v>0</v>
      </c>
      <c r="P31" s="356">
        <v>0</v>
      </c>
      <c r="Q31" s="601">
        <v>0</v>
      </c>
      <c r="R31" s="601">
        <v>0</v>
      </c>
      <c r="S31" s="601">
        <v>0</v>
      </c>
      <c r="T31" s="601">
        <v>0</v>
      </c>
      <c r="U31" s="601">
        <v>0</v>
      </c>
      <c r="V31" s="601">
        <v>0</v>
      </c>
      <c r="W31" s="601">
        <v>0</v>
      </c>
      <c r="X31" s="601">
        <v>0</v>
      </c>
      <c r="Y31" s="601">
        <v>0</v>
      </c>
      <c r="Z31" s="601">
        <v>0</v>
      </c>
      <c r="AA31" s="82"/>
      <c r="AB31" s="8" t="str">
        <f t="shared" si="6"/>
        <v/>
      </c>
      <c r="AC31" s="89"/>
    </row>
    <row r="32" spans="1:31" s="32" customFormat="1">
      <c r="A32" s="383" t="s">
        <v>142</v>
      </c>
      <c r="B32" s="473" t="s">
        <v>401</v>
      </c>
      <c r="C32" s="618">
        <f t="shared" ref="C32:V32" si="7">SUM(C22:C31)</f>
        <v>0</v>
      </c>
      <c r="D32" s="618">
        <f>SUM(D22:D31)</f>
        <v>0</v>
      </c>
      <c r="E32" s="618">
        <f t="shared" si="7"/>
        <v>0</v>
      </c>
      <c r="F32" s="618">
        <f t="shared" si="7"/>
        <v>0</v>
      </c>
      <c r="G32" s="618">
        <f t="shared" si="7"/>
        <v>0</v>
      </c>
      <c r="H32" s="618">
        <f t="shared" si="7"/>
        <v>0</v>
      </c>
      <c r="I32" s="619">
        <f t="shared" si="7"/>
        <v>0</v>
      </c>
      <c r="J32" s="619">
        <f t="shared" si="7"/>
        <v>0</v>
      </c>
      <c r="K32" s="619">
        <f t="shared" si="7"/>
        <v>0</v>
      </c>
      <c r="L32" s="619">
        <f t="shared" si="7"/>
        <v>0</v>
      </c>
      <c r="M32" s="619">
        <f t="shared" si="7"/>
        <v>0</v>
      </c>
      <c r="N32" s="619">
        <f t="shared" si="7"/>
        <v>0</v>
      </c>
      <c r="O32" s="619">
        <f t="shared" si="7"/>
        <v>0</v>
      </c>
      <c r="P32" s="619">
        <f t="shared" si="7"/>
        <v>0</v>
      </c>
      <c r="Q32" s="619">
        <f t="shared" si="7"/>
        <v>0</v>
      </c>
      <c r="R32" s="619">
        <f t="shared" si="7"/>
        <v>0</v>
      </c>
      <c r="S32" s="619">
        <f t="shared" si="7"/>
        <v>0</v>
      </c>
      <c r="T32" s="619">
        <f t="shared" si="7"/>
        <v>0</v>
      </c>
      <c r="U32" s="619">
        <f t="shared" si="7"/>
        <v>0</v>
      </c>
      <c r="V32" s="619">
        <f t="shared" si="7"/>
        <v>0</v>
      </c>
      <c r="W32" s="619">
        <f t="shared" ref="W32:X32" si="8">SUM(W22:W31)</f>
        <v>0</v>
      </c>
      <c r="X32" s="619">
        <f t="shared" si="8"/>
        <v>0</v>
      </c>
      <c r="Y32" s="619">
        <f t="shared" ref="Y32:Z32" si="9">SUM(Y22:Y31)</f>
        <v>0</v>
      </c>
      <c r="Z32" s="619">
        <f t="shared" si="9"/>
        <v>0</v>
      </c>
      <c r="AA32" s="49"/>
      <c r="AB32" s="8" t="str">
        <f t="shared" si="6"/>
        <v/>
      </c>
      <c r="AC32" s="89"/>
    </row>
    <row r="33" spans="1:29" s="32" customFormat="1">
      <c r="A33" s="383"/>
      <c r="B33" s="398"/>
      <c r="C33" s="602"/>
      <c r="D33" s="602"/>
      <c r="E33" s="602"/>
      <c r="F33" s="602"/>
      <c r="G33" s="602"/>
      <c r="H33" s="602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49"/>
      <c r="AB33" s="8"/>
      <c r="AC33" s="89"/>
    </row>
    <row r="34" spans="1:29" s="22" customFormat="1" ht="12.75" thickBot="1">
      <c r="A34" s="384"/>
      <c r="B34" s="397" t="s">
        <v>389</v>
      </c>
      <c r="C34" s="604" t="str">
        <f t="shared" ref="C34:V34" si="10">IF(C32&gt;0,C32-C17,"")</f>
        <v/>
      </c>
      <c r="D34" s="604" t="str">
        <f t="shared" si="10"/>
        <v/>
      </c>
      <c r="E34" s="604" t="str">
        <f t="shared" si="10"/>
        <v/>
      </c>
      <c r="F34" s="604" t="str">
        <f t="shared" si="10"/>
        <v/>
      </c>
      <c r="G34" s="604" t="str">
        <f t="shared" si="10"/>
        <v/>
      </c>
      <c r="H34" s="604" t="str">
        <f t="shared" si="10"/>
        <v/>
      </c>
      <c r="I34" s="604" t="str">
        <f t="shared" si="10"/>
        <v/>
      </c>
      <c r="J34" s="604" t="str">
        <f t="shared" si="10"/>
        <v/>
      </c>
      <c r="K34" s="604" t="str">
        <f t="shared" si="10"/>
        <v/>
      </c>
      <c r="L34" s="604" t="str">
        <f t="shared" si="10"/>
        <v/>
      </c>
      <c r="M34" s="604" t="str">
        <f t="shared" si="10"/>
        <v/>
      </c>
      <c r="N34" s="604" t="str">
        <f t="shared" si="10"/>
        <v/>
      </c>
      <c r="O34" s="604" t="str">
        <f t="shared" si="10"/>
        <v/>
      </c>
      <c r="P34" s="604" t="str">
        <f t="shared" si="10"/>
        <v/>
      </c>
      <c r="Q34" s="604" t="str">
        <f t="shared" si="10"/>
        <v/>
      </c>
      <c r="R34" s="604" t="str">
        <f t="shared" si="10"/>
        <v/>
      </c>
      <c r="S34" s="604" t="str">
        <f t="shared" si="10"/>
        <v/>
      </c>
      <c r="T34" s="604" t="str">
        <f t="shared" si="10"/>
        <v/>
      </c>
      <c r="U34" s="604" t="str">
        <f t="shared" si="10"/>
        <v/>
      </c>
      <c r="V34" s="604" t="str">
        <f t="shared" si="10"/>
        <v/>
      </c>
      <c r="W34" s="604" t="str">
        <f t="shared" ref="W34:X34" si="11">IF(W32&gt;0,W32-W17,"")</f>
        <v/>
      </c>
      <c r="X34" s="604" t="str">
        <f t="shared" si="11"/>
        <v/>
      </c>
      <c r="Y34" s="604" t="str">
        <f t="shared" ref="Y34:Z34" si="12">IF(Y32&gt;0,Y32-Y17,"")</f>
        <v/>
      </c>
      <c r="Z34" s="604" t="str">
        <f t="shared" si="12"/>
        <v/>
      </c>
      <c r="AA34" s="49"/>
      <c r="AB34" s="8" t="str">
        <f>IFERROR(AVERAGE((L34-K34)/K34,(M34-L34)/L34,(N34-M34)/M34,(O34-N34)/N34,(P34-O34)/O34,(Q34-P34)/P34),"")</f>
        <v/>
      </c>
    </row>
    <row r="35" spans="1:29" ht="12.75" thickTop="1">
      <c r="B35" s="828" t="s">
        <v>390</v>
      </c>
      <c r="C35" s="829" t="str">
        <f t="shared" ref="C35:V35" si="13">IFERROR(C34/C17,"")</f>
        <v/>
      </c>
      <c r="D35" s="829" t="str">
        <f t="shared" si="13"/>
        <v/>
      </c>
      <c r="E35" s="829" t="str">
        <f t="shared" si="13"/>
        <v/>
      </c>
      <c r="F35" s="829" t="str">
        <f t="shared" si="13"/>
        <v/>
      </c>
      <c r="G35" s="829" t="str">
        <f t="shared" si="13"/>
        <v/>
      </c>
      <c r="H35" s="829" t="str">
        <f t="shared" si="13"/>
        <v/>
      </c>
      <c r="I35" s="829" t="str">
        <f t="shared" si="13"/>
        <v/>
      </c>
      <c r="J35" s="829" t="str">
        <f t="shared" si="13"/>
        <v/>
      </c>
      <c r="K35" s="829" t="str">
        <f t="shared" si="13"/>
        <v/>
      </c>
      <c r="L35" s="829" t="str">
        <f t="shared" si="13"/>
        <v/>
      </c>
      <c r="M35" s="829" t="str">
        <f t="shared" si="13"/>
        <v/>
      </c>
      <c r="N35" s="829" t="str">
        <f t="shared" si="13"/>
        <v/>
      </c>
      <c r="O35" s="829" t="str">
        <f t="shared" si="13"/>
        <v/>
      </c>
      <c r="P35" s="829" t="str">
        <f t="shared" si="13"/>
        <v/>
      </c>
      <c r="Q35" s="829" t="str">
        <f t="shared" si="13"/>
        <v/>
      </c>
      <c r="R35" s="829" t="str">
        <f t="shared" si="13"/>
        <v/>
      </c>
      <c r="S35" s="829" t="str">
        <f t="shared" si="13"/>
        <v/>
      </c>
      <c r="T35" s="829" t="str">
        <f t="shared" si="13"/>
        <v/>
      </c>
      <c r="U35" s="829" t="str">
        <f t="shared" si="13"/>
        <v/>
      </c>
      <c r="V35" s="829" t="str">
        <f t="shared" si="13"/>
        <v/>
      </c>
      <c r="W35" s="829" t="str">
        <f t="shared" ref="W35:X35" si="14">IFERROR(W34/W17,"")</f>
        <v/>
      </c>
      <c r="X35" s="829" t="str">
        <f t="shared" si="14"/>
        <v/>
      </c>
      <c r="Y35" s="829" t="str">
        <f t="shared" ref="Y35:Z35" si="15">IFERROR(Y34/Y17,"")</f>
        <v/>
      </c>
      <c r="Z35" s="829" t="str">
        <f t="shared" si="15"/>
        <v/>
      </c>
      <c r="AB35" s="76"/>
    </row>
    <row r="37" spans="1:29">
      <c r="A37" s="218" t="s">
        <v>142</v>
      </c>
      <c r="B37" s="376" t="s">
        <v>402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29">
      <c r="L38" s="47"/>
    </row>
    <row r="68" spans="1:35" s="47" customFormat="1">
      <c r="A68" s="206"/>
      <c r="B68" s="32"/>
      <c r="C68" s="32"/>
      <c r="D68" s="32"/>
      <c r="E68" s="32"/>
      <c r="F68" s="32"/>
      <c r="G68" s="32"/>
      <c r="H68" s="32"/>
      <c r="I68" s="46"/>
      <c r="J68" s="46"/>
      <c r="K68" s="46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>
      <c r="A69" s="206"/>
      <c r="B69" s="32"/>
      <c r="C69" s="32"/>
      <c r="D69" s="32"/>
      <c r="E69" s="32"/>
      <c r="F69" s="32"/>
      <c r="G69" s="32"/>
      <c r="H69" s="32"/>
      <c r="I69" s="46"/>
      <c r="J69" s="46"/>
      <c r="K69" s="46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>
      <c r="A70" s="206"/>
      <c r="B70" s="32"/>
      <c r="C70" s="32"/>
      <c r="D70" s="32"/>
      <c r="E70" s="32"/>
      <c r="F70" s="32"/>
      <c r="G70" s="32"/>
      <c r="H70" s="32"/>
      <c r="I70" s="46"/>
      <c r="J70" s="46"/>
      <c r="K70" s="46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>
      <c r="A71" s="206"/>
      <c r="B71" s="32"/>
      <c r="C71" s="32"/>
      <c r="D71" s="32"/>
      <c r="E71" s="32"/>
      <c r="F71" s="32"/>
      <c r="G71" s="32"/>
      <c r="H71" s="32"/>
      <c r="I71" s="46"/>
      <c r="J71" s="46"/>
      <c r="K71" s="46"/>
      <c r="AA71" s="49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>
      <c r="A72" s="206"/>
      <c r="B72" s="32"/>
      <c r="C72" s="32"/>
      <c r="D72" s="32"/>
      <c r="E72" s="32"/>
      <c r="F72" s="32"/>
      <c r="G72" s="32"/>
      <c r="H72" s="32"/>
      <c r="I72" s="46"/>
      <c r="J72" s="46"/>
      <c r="K72" s="46"/>
      <c r="AA72" s="49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>
      <c r="A73" s="206"/>
      <c r="B73" s="32"/>
      <c r="C73" s="32"/>
      <c r="D73" s="32"/>
      <c r="E73" s="32"/>
      <c r="F73" s="32"/>
      <c r="G73" s="32"/>
      <c r="H73" s="32"/>
      <c r="I73" s="46"/>
      <c r="J73" s="46"/>
      <c r="K73" s="46"/>
      <c r="AA73" s="49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>
      <c r="A74" s="206"/>
      <c r="B74" s="32"/>
      <c r="C74" s="32"/>
      <c r="D74" s="32"/>
      <c r="E74" s="32"/>
      <c r="F74" s="32"/>
      <c r="G74" s="32"/>
      <c r="H74" s="32"/>
      <c r="I74" s="46"/>
      <c r="J74" s="46"/>
      <c r="K74" s="46"/>
      <c r="AA74" s="49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>
      <c r="A75" s="206"/>
      <c r="B75" s="32"/>
      <c r="C75" s="32"/>
      <c r="D75" s="32"/>
      <c r="E75" s="32"/>
      <c r="F75" s="32"/>
      <c r="G75" s="32"/>
      <c r="H75" s="32"/>
      <c r="I75" s="46"/>
      <c r="J75" s="46"/>
      <c r="K75" s="46"/>
      <c r="AA75" s="49"/>
      <c r="AB75" s="49"/>
      <c r="AC75" s="49"/>
      <c r="AD75" s="49"/>
      <c r="AE75" s="49"/>
      <c r="AF75" s="49"/>
      <c r="AG75" s="49"/>
      <c r="AH75" s="49"/>
      <c r="AI75" s="49"/>
    </row>
    <row r="76" spans="1:35" s="47" customFormat="1">
      <c r="A76" s="206"/>
      <c r="B76" s="32"/>
      <c r="C76" s="32"/>
      <c r="D76" s="32"/>
      <c r="E76" s="32"/>
      <c r="F76" s="32"/>
      <c r="G76" s="32"/>
      <c r="H76" s="32"/>
      <c r="I76" s="46"/>
      <c r="J76" s="46"/>
      <c r="K76" s="46"/>
      <c r="AA76" s="49"/>
      <c r="AB76" s="49"/>
      <c r="AC76" s="49"/>
      <c r="AD76" s="49"/>
      <c r="AE76" s="49"/>
      <c r="AF76" s="49"/>
      <c r="AG76" s="49"/>
      <c r="AH76" s="49"/>
      <c r="AI76" s="49"/>
    </row>
    <row r="77" spans="1:35" s="47" customFormat="1">
      <c r="A77" s="206"/>
      <c r="B77" s="32"/>
      <c r="C77" s="32"/>
      <c r="D77" s="32"/>
      <c r="E77" s="32"/>
      <c r="F77" s="32"/>
      <c r="G77" s="32"/>
      <c r="H77" s="32"/>
      <c r="I77" s="46"/>
      <c r="J77" s="46"/>
      <c r="K77" s="46"/>
      <c r="AA77" s="49"/>
      <c r="AB77" s="49"/>
      <c r="AC77" s="49"/>
      <c r="AD77" s="49"/>
      <c r="AE77" s="49"/>
      <c r="AF77" s="49"/>
      <c r="AG77" s="49"/>
      <c r="AH77" s="49"/>
      <c r="AI77" s="49"/>
    </row>
    <row r="78" spans="1:35" s="47" customFormat="1">
      <c r="A78" s="206"/>
      <c r="B78" s="32"/>
      <c r="C78" s="32"/>
      <c r="D78" s="32"/>
      <c r="E78" s="32"/>
      <c r="F78" s="32"/>
      <c r="G78" s="32"/>
      <c r="H78" s="32"/>
      <c r="I78" s="46"/>
      <c r="J78" s="46"/>
      <c r="K78" s="46"/>
      <c r="AA78" s="49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>
      <c r="A79" s="206"/>
      <c r="B79" s="32"/>
      <c r="C79" s="32"/>
      <c r="D79" s="32"/>
      <c r="E79" s="32"/>
      <c r="F79" s="32"/>
      <c r="G79" s="32"/>
      <c r="H79" s="32"/>
      <c r="I79" s="46"/>
      <c r="J79" s="46"/>
      <c r="K79" s="46"/>
      <c r="AA79" s="49"/>
      <c r="AB79" s="49"/>
      <c r="AC79" s="49"/>
      <c r="AD79" s="49"/>
      <c r="AE79" s="49"/>
      <c r="AF79" s="49"/>
      <c r="AG79" s="49"/>
      <c r="AH79" s="49"/>
      <c r="AI79" s="49"/>
    </row>
    <row r="80" spans="1:35" s="47" customFormat="1">
      <c r="A80" s="206"/>
      <c r="B80" s="32"/>
      <c r="C80" s="32"/>
      <c r="D80" s="32"/>
      <c r="E80" s="32"/>
      <c r="F80" s="32"/>
      <c r="G80" s="32"/>
      <c r="H80" s="32"/>
      <c r="I80" s="46"/>
      <c r="J80" s="46"/>
      <c r="K80" s="46"/>
      <c r="AA80" s="49"/>
      <c r="AB80" s="49"/>
      <c r="AC80" s="49"/>
      <c r="AD80" s="49"/>
      <c r="AE80" s="49"/>
      <c r="AF80" s="49"/>
      <c r="AG80" s="49"/>
      <c r="AH80" s="49"/>
      <c r="AI80" s="49"/>
    </row>
  </sheetData>
  <phoneticPr fontId="40" type="noConversion"/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ignoredErrors>
    <ignoredError sqref="AA19:AA21 S7:V16 AA18:AB18 AA33 Q32:V34 Q17:V21 W7:W16 AA7:AA17 AB7:AB17 AA22:AA32 AA34 AB22:AB32 AB34 X7:X35 Y7:Y17 Z7:Z1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7" tint="0.59999389629810485"/>
  </sheetPr>
  <dimension ref="A1:AG128"/>
  <sheetViews>
    <sheetView showGridLines="0" zoomScaleNormal="100" zoomScaleSheetLayoutView="100" workbookViewId="0">
      <pane xSplit="2" ySplit="6" topLeftCell="N44" activePane="bottomRight" state="frozen"/>
      <selection pane="bottomRight" activeCell="Z67" sqref="Z67"/>
      <selection pane="bottomLeft" activeCell="A7" sqref="A7"/>
      <selection pane="topRight" activeCell="B1" sqref="B1"/>
    </sheetView>
  </sheetViews>
  <sheetFormatPr defaultColWidth="8.75" defaultRowHeight="12"/>
  <cols>
    <col min="1" max="1" width="2.5" style="221" customWidth="1"/>
    <col min="2" max="2" width="27.125" style="4" customWidth="1"/>
    <col min="3" max="6" width="9.125" style="4" customWidth="1"/>
    <col min="7" max="7" width="10.25" style="4" customWidth="1"/>
    <col min="8" max="12" width="8.125" style="4" customWidth="1"/>
    <col min="13" max="13" width="8.875" style="4" customWidth="1"/>
    <col min="14" max="14" width="9.375" style="4" customWidth="1"/>
    <col min="15" max="15" width="8.875" style="4" customWidth="1"/>
    <col min="16" max="16" width="9.125" style="4" customWidth="1"/>
    <col min="17" max="17" width="8.5" style="4" customWidth="1"/>
    <col min="18" max="18" width="8.75" style="4" customWidth="1"/>
    <col min="19" max="19" width="9.375" style="4" customWidth="1"/>
    <col min="20" max="20" width="8.25" style="4" customWidth="1"/>
    <col min="21" max="21" width="8.125" style="4" customWidth="1"/>
    <col min="22" max="22" width="8.625" style="4" customWidth="1"/>
    <col min="23" max="23" width="8.75" style="4" customWidth="1"/>
    <col min="24" max="24" width="8.25" style="4" customWidth="1"/>
    <col min="25" max="25" width="8.625" style="4" customWidth="1"/>
    <col min="26" max="28" width="10.75" style="4" customWidth="1"/>
    <col min="29" max="29" width="57.625" style="4" bestFit="1" customWidth="1"/>
    <col min="30" max="16384" width="8.75" style="4"/>
  </cols>
  <sheetData>
    <row r="1" spans="1:33" s="92" customFormat="1" ht="12" customHeight="1">
      <c r="A1" s="385"/>
      <c r="B1" s="38" t="str">
        <f>Summary!B1</f>
        <v>Municipality of Berkley</v>
      </c>
      <c r="C1" s="25"/>
      <c r="D1" s="25"/>
      <c r="E1" s="93"/>
      <c r="F1" s="25"/>
      <c r="G1" s="25"/>
      <c r="H1" s="25"/>
      <c r="I1" s="25"/>
      <c r="L1" s="94"/>
    </row>
    <row r="2" spans="1:33" s="92" customFormat="1" ht="12" customHeight="1">
      <c r="A2" s="385"/>
      <c r="B2" s="5" t="s">
        <v>403</v>
      </c>
      <c r="C2" s="25"/>
      <c r="D2" s="25"/>
      <c r="E2" s="25"/>
      <c r="F2" s="95"/>
      <c r="G2" s="95"/>
      <c r="H2" s="25"/>
      <c r="I2" s="95"/>
      <c r="K2" s="94"/>
      <c r="L2" s="96"/>
      <c r="AC2" s="385"/>
    </row>
    <row r="3" spans="1:33" ht="12" customHeight="1">
      <c r="B3" s="2"/>
      <c r="G3" s="21"/>
      <c r="H3" s="9"/>
      <c r="J3" s="21"/>
      <c r="AC3" s="385"/>
    </row>
    <row r="4" spans="1:33" s="32" customFormat="1" ht="12" customHeight="1">
      <c r="A4" s="383"/>
      <c r="B4" s="45"/>
      <c r="C4" s="45"/>
      <c r="D4" s="45"/>
      <c r="E4" s="45"/>
      <c r="F4" s="45"/>
      <c r="G4" s="45"/>
      <c r="H4" s="45"/>
      <c r="I4" s="45"/>
      <c r="J4" s="45"/>
      <c r="K4" s="97"/>
      <c r="V4" s="98"/>
      <c r="W4" s="98"/>
      <c r="X4" s="98"/>
      <c r="Y4" s="98"/>
      <c r="Z4" s="98"/>
      <c r="AA4" s="98"/>
      <c r="AB4" s="98"/>
      <c r="AC4" s="221"/>
    </row>
    <row r="5" spans="1:33" s="32" customFormat="1" ht="12" customHeight="1">
      <c r="A5" s="383"/>
      <c r="C5" s="172" t="s">
        <v>82</v>
      </c>
      <c r="D5" s="172" t="s">
        <v>83</v>
      </c>
      <c r="E5" s="172" t="s">
        <v>84</v>
      </c>
      <c r="F5" s="172" t="s">
        <v>85</v>
      </c>
      <c r="G5" s="172" t="s">
        <v>86</v>
      </c>
      <c r="H5" s="172" t="s">
        <v>87</v>
      </c>
      <c r="I5" s="172" t="s">
        <v>88</v>
      </c>
      <c r="J5" s="172" t="s">
        <v>89</v>
      </c>
      <c r="K5" s="99" t="s">
        <v>90</v>
      </c>
      <c r="L5" s="99" t="s">
        <v>91</v>
      </c>
      <c r="M5" s="99" t="s">
        <v>92</v>
      </c>
      <c r="N5" s="99" t="s">
        <v>93</v>
      </c>
      <c r="O5" s="99" t="s">
        <v>94</v>
      </c>
      <c r="P5" s="99" t="s">
        <v>95</v>
      </c>
      <c r="Q5" s="99" t="s">
        <v>96</v>
      </c>
      <c r="R5" s="99" t="s">
        <v>97</v>
      </c>
      <c r="S5" s="99" t="s">
        <v>98</v>
      </c>
      <c r="T5" s="99" t="s">
        <v>99</v>
      </c>
      <c r="U5" s="99" t="s">
        <v>100</v>
      </c>
      <c r="V5" s="99" t="s">
        <v>101</v>
      </c>
      <c r="W5" s="99" t="s">
        <v>102</v>
      </c>
      <c r="X5" s="99" t="s">
        <v>103</v>
      </c>
      <c r="Y5" s="99" t="s">
        <v>104</v>
      </c>
      <c r="Z5" s="99" t="s">
        <v>105</v>
      </c>
      <c r="AA5" s="99" t="s">
        <v>106</v>
      </c>
      <c r="AB5" s="99" t="s">
        <v>107</v>
      </c>
      <c r="AC5" s="383"/>
    </row>
    <row r="6" spans="1:33" s="32" customFormat="1" ht="12" customHeight="1">
      <c r="A6" s="383"/>
      <c r="C6" s="6" t="s">
        <v>158</v>
      </c>
      <c r="D6" s="6" t="s">
        <v>158</v>
      </c>
      <c r="E6" s="6" t="s">
        <v>158</v>
      </c>
      <c r="F6" s="6" t="s">
        <v>158</v>
      </c>
      <c r="G6" s="6" t="s">
        <v>158</v>
      </c>
      <c r="H6" s="6" t="s">
        <v>158</v>
      </c>
      <c r="I6" s="6" t="s">
        <v>158</v>
      </c>
      <c r="J6" s="6" t="s">
        <v>158</v>
      </c>
      <c r="K6" s="6" t="s">
        <v>158</v>
      </c>
      <c r="L6" s="100" t="s">
        <v>158</v>
      </c>
      <c r="M6" s="100" t="s">
        <v>158</v>
      </c>
      <c r="N6" s="100" t="s">
        <v>158</v>
      </c>
      <c r="O6" s="100" t="s">
        <v>158</v>
      </c>
      <c r="P6" s="100" t="s">
        <v>158</v>
      </c>
      <c r="Q6" s="100" t="s">
        <v>158</v>
      </c>
      <c r="R6" s="100" t="s">
        <v>158</v>
      </c>
      <c r="S6" s="100" t="s">
        <v>158</v>
      </c>
      <c r="T6" s="100" t="s">
        <v>158</v>
      </c>
      <c r="U6" s="100" t="s">
        <v>158</v>
      </c>
      <c r="V6" s="100" t="s">
        <v>158</v>
      </c>
      <c r="W6" s="100" t="s">
        <v>158</v>
      </c>
      <c r="X6" s="100" t="s">
        <v>158</v>
      </c>
      <c r="Y6" s="100" t="s">
        <v>159</v>
      </c>
      <c r="Z6" s="100" t="s">
        <v>159</v>
      </c>
      <c r="AA6" s="100" t="s">
        <v>159</v>
      </c>
      <c r="AB6" s="100" t="s">
        <v>159</v>
      </c>
      <c r="AC6" s="880"/>
    </row>
    <row r="7" spans="1:33" ht="12" customHeight="1">
      <c r="B7" s="11" t="s">
        <v>404</v>
      </c>
      <c r="L7" s="177"/>
      <c r="AC7" s="880"/>
    </row>
    <row r="8" spans="1:33" s="32" customFormat="1" ht="12" customHeight="1">
      <c r="A8" s="383"/>
      <c r="B8" s="101" t="s">
        <v>405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12600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873" t="s">
        <v>306</v>
      </c>
    </row>
    <row r="9" spans="1:33" ht="12" customHeight="1">
      <c r="B9" s="102" t="s">
        <v>406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381" t="s">
        <v>407</v>
      </c>
    </row>
    <row r="10" spans="1:33" ht="12" customHeight="1">
      <c r="B10" s="102" t="s">
        <v>408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81806</v>
      </c>
      <c r="U10" s="167">
        <v>17258</v>
      </c>
      <c r="V10" s="167">
        <v>33838</v>
      </c>
      <c r="W10" s="167">
        <v>190697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383" t="s">
        <v>409</v>
      </c>
    </row>
    <row r="11" spans="1:33" s="32" customFormat="1" ht="12" customHeight="1">
      <c r="A11" s="383"/>
      <c r="B11" s="692" t="s">
        <v>410</v>
      </c>
      <c r="C11" s="575" t="s">
        <v>206</v>
      </c>
      <c r="D11" s="575" t="s">
        <v>206</v>
      </c>
      <c r="E11" s="575" t="s">
        <v>206</v>
      </c>
      <c r="F11" s="575" t="s">
        <v>206</v>
      </c>
      <c r="G11" s="575" t="s">
        <v>206</v>
      </c>
      <c r="H11" s="575" t="s">
        <v>206</v>
      </c>
      <c r="I11" s="575" t="s">
        <v>206</v>
      </c>
      <c r="J11" s="575" t="s">
        <v>206</v>
      </c>
      <c r="K11" s="575" t="s">
        <v>206</v>
      </c>
      <c r="L11" s="575" t="s">
        <v>206</v>
      </c>
      <c r="M11" s="575" t="s">
        <v>206</v>
      </c>
      <c r="N11" s="575" t="s">
        <v>206</v>
      </c>
      <c r="O11" s="575" t="s">
        <v>206</v>
      </c>
      <c r="P11" s="575" t="s">
        <v>206</v>
      </c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221"/>
      <c r="AD11" s="266"/>
      <c r="AE11" s="341"/>
      <c r="AF11" s="266"/>
      <c r="AG11" s="266"/>
    </row>
    <row r="12" spans="1:33" s="32" customFormat="1" ht="12" customHeight="1">
      <c r="A12" s="383"/>
      <c r="B12" s="577" t="s">
        <v>411</v>
      </c>
      <c r="C12" s="578">
        <v>0</v>
      </c>
      <c r="D12" s="578">
        <v>0</v>
      </c>
      <c r="E12" s="578">
        <v>0</v>
      </c>
      <c r="F12" s="578">
        <v>0</v>
      </c>
      <c r="G12" s="578">
        <v>0</v>
      </c>
      <c r="H12" s="578">
        <v>0</v>
      </c>
      <c r="I12" s="578">
        <v>0</v>
      </c>
      <c r="J12" s="578">
        <v>0</v>
      </c>
      <c r="K12" s="578">
        <v>0</v>
      </c>
      <c r="L12" s="578">
        <v>0</v>
      </c>
      <c r="M12" s="578">
        <v>0</v>
      </c>
      <c r="N12" s="578">
        <v>0</v>
      </c>
      <c r="O12" s="578">
        <v>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v>477916</v>
      </c>
      <c r="V12" s="578">
        <v>0</v>
      </c>
      <c r="W12" s="578">
        <v>0</v>
      </c>
      <c r="X12" s="578">
        <v>0</v>
      </c>
      <c r="Y12" s="578">
        <v>0</v>
      </c>
      <c r="Z12" s="578">
        <v>0</v>
      </c>
      <c r="AA12" s="578">
        <v>0</v>
      </c>
      <c r="AB12" s="578">
        <v>0</v>
      </c>
      <c r="AC12" s="383" t="s">
        <v>412</v>
      </c>
      <c r="AD12" s="242"/>
      <c r="AE12" s="242"/>
      <c r="AF12" s="242"/>
      <c r="AG12" s="242"/>
    </row>
    <row r="13" spans="1:33" s="32" customFormat="1" ht="12" customHeight="1">
      <c r="A13" s="383"/>
      <c r="B13" s="577" t="s">
        <v>413</v>
      </c>
      <c r="C13" s="578">
        <v>0</v>
      </c>
      <c r="D13" s="578">
        <v>0</v>
      </c>
      <c r="E13" s="578">
        <v>0</v>
      </c>
      <c r="F13" s="578">
        <v>0</v>
      </c>
      <c r="G13" s="578">
        <v>0</v>
      </c>
      <c r="H13" s="578">
        <v>0</v>
      </c>
      <c r="I13" s="578">
        <v>0</v>
      </c>
      <c r="J13" s="578">
        <v>0</v>
      </c>
      <c r="K13" s="578">
        <v>0</v>
      </c>
      <c r="L13" s="578">
        <v>0</v>
      </c>
      <c r="M13" s="578">
        <v>0</v>
      </c>
      <c r="N13" s="578">
        <v>0</v>
      </c>
      <c r="O13" s="578">
        <v>0</v>
      </c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383" t="s">
        <v>414</v>
      </c>
    </row>
    <row r="14" spans="1:33" s="32" customFormat="1" ht="12" customHeight="1">
      <c r="A14" s="383"/>
      <c r="B14" s="577" t="s">
        <v>415</v>
      </c>
      <c r="C14" s="578">
        <v>0</v>
      </c>
      <c r="D14" s="578">
        <v>0</v>
      </c>
      <c r="E14" s="578">
        <v>0</v>
      </c>
      <c r="F14" s="578">
        <v>0</v>
      </c>
      <c r="G14" s="578">
        <v>0</v>
      </c>
      <c r="H14" s="578">
        <v>0</v>
      </c>
      <c r="I14" s="578">
        <v>0</v>
      </c>
      <c r="J14" s="578">
        <v>0</v>
      </c>
      <c r="K14" s="578">
        <v>0</v>
      </c>
      <c r="L14" s="578">
        <v>0</v>
      </c>
      <c r="M14" s="578">
        <v>0</v>
      </c>
      <c r="N14" s="578">
        <v>0</v>
      </c>
      <c r="O14" s="578">
        <v>0</v>
      </c>
      <c r="P14" s="578">
        <v>0</v>
      </c>
      <c r="Q14" s="578">
        <v>0</v>
      </c>
      <c r="R14" s="578">
        <v>0</v>
      </c>
      <c r="S14" s="578">
        <v>0</v>
      </c>
      <c r="T14" s="578">
        <v>0</v>
      </c>
      <c r="U14" s="578">
        <v>0</v>
      </c>
      <c r="V14" s="578">
        <v>0</v>
      </c>
      <c r="W14" s="578">
        <v>0</v>
      </c>
      <c r="X14" s="578"/>
      <c r="Y14" s="578">
        <v>0</v>
      </c>
      <c r="Z14" s="578">
        <v>0</v>
      </c>
      <c r="AA14" s="578">
        <v>0</v>
      </c>
      <c r="AB14" s="578">
        <v>0</v>
      </c>
      <c r="AC14" s="383" t="s">
        <v>416</v>
      </c>
    </row>
    <row r="15" spans="1:33" s="32" customFormat="1" ht="12" customHeight="1">
      <c r="A15" s="383"/>
      <c r="B15" s="577" t="s">
        <v>417</v>
      </c>
      <c r="C15" s="578">
        <v>0</v>
      </c>
      <c r="D15" s="578">
        <v>0</v>
      </c>
      <c r="E15" s="578">
        <v>0</v>
      </c>
      <c r="F15" s="578">
        <v>0</v>
      </c>
      <c r="G15" s="578">
        <v>0</v>
      </c>
      <c r="H15" s="578">
        <v>0</v>
      </c>
      <c r="I15" s="578">
        <v>0</v>
      </c>
      <c r="J15" s="578">
        <v>0</v>
      </c>
      <c r="K15" s="578">
        <v>0</v>
      </c>
      <c r="L15" s="578">
        <v>0</v>
      </c>
      <c r="M15" s="578">
        <v>0</v>
      </c>
      <c r="N15" s="578">
        <v>0</v>
      </c>
      <c r="O15" s="578">
        <v>0</v>
      </c>
      <c r="P15" s="578">
        <v>0</v>
      </c>
      <c r="Q15" s="578">
        <v>0</v>
      </c>
      <c r="R15" s="578">
        <v>0</v>
      </c>
      <c r="S15" s="578">
        <v>0</v>
      </c>
      <c r="T15" s="578">
        <v>0</v>
      </c>
      <c r="U15" s="578">
        <v>0</v>
      </c>
      <c r="V15" s="578">
        <v>0</v>
      </c>
      <c r="W15" s="578">
        <v>0</v>
      </c>
      <c r="X15" s="578">
        <v>0</v>
      </c>
      <c r="Y15" s="578">
        <v>0</v>
      </c>
      <c r="Z15" s="578">
        <v>0</v>
      </c>
      <c r="AA15" s="578">
        <v>0</v>
      </c>
      <c r="AB15" s="578">
        <v>0</v>
      </c>
      <c r="AC15" s="383"/>
    </row>
    <row r="16" spans="1:33" s="32" customFormat="1" ht="12" customHeight="1">
      <c r="A16" s="383"/>
      <c r="B16" s="577" t="s">
        <v>418</v>
      </c>
      <c r="C16" s="578">
        <v>0</v>
      </c>
      <c r="D16" s="578">
        <v>0</v>
      </c>
      <c r="E16" s="578">
        <v>0</v>
      </c>
      <c r="F16" s="578">
        <v>0</v>
      </c>
      <c r="G16" s="578">
        <v>0</v>
      </c>
      <c r="H16" s="578">
        <v>0</v>
      </c>
      <c r="I16" s="578">
        <v>0</v>
      </c>
      <c r="J16" s="578">
        <v>0</v>
      </c>
      <c r="K16" s="578">
        <v>0</v>
      </c>
      <c r="L16" s="578">
        <v>0</v>
      </c>
      <c r="M16" s="578">
        <v>0</v>
      </c>
      <c r="N16" s="578">
        <v>0</v>
      </c>
      <c r="O16" s="578">
        <v>0</v>
      </c>
      <c r="P16" s="578">
        <v>0</v>
      </c>
      <c r="Q16" s="578">
        <v>0</v>
      </c>
      <c r="R16" s="578">
        <v>0</v>
      </c>
      <c r="S16" s="578">
        <v>0</v>
      </c>
      <c r="T16" s="578">
        <v>0</v>
      </c>
      <c r="U16" s="578">
        <v>0</v>
      </c>
      <c r="V16" s="578">
        <v>0</v>
      </c>
      <c r="W16" s="578">
        <v>0</v>
      </c>
      <c r="X16" s="578">
        <v>0</v>
      </c>
      <c r="Y16" s="578">
        <v>0</v>
      </c>
      <c r="Z16" s="578">
        <v>0</v>
      </c>
      <c r="AA16" s="578">
        <v>0</v>
      </c>
      <c r="AB16" s="578">
        <v>0</v>
      </c>
      <c r="AC16" s="383"/>
    </row>
    <row r="17" spans="1:29" s="32" customFormat="1" ht="12" customHeight="1">
      <c r="A17" s="383"/>
      <c r="B17" s="577" t="s">
        <v>419</v>
      </c>
      <c r="C17" s="578">
        <v>0</v>
      </c>
      <c r="D17" s="578">
        <v>0</v>
      </c>
      <c r="E17" s="578">
        <v>0</v>
      </c>
      <c r="F17" s="578">
        <v>0</v>
      </c>
      <c r="G17" s="578">
        <v>0</v>
      </c>
      <c r="H17" s="578">
        <v>0</v>
      </c>
      <c r="I17" s="578">
        <v>0</v>
      </c>
      <c r="J17" s="578">
        <v>0</v>
      </c>
      <c r="K17" s="578">
        <v>0</v>
      </c>
      <c r="L17" s="578">
        <v>0</v>
      </c>
      <c r="M17" s="578">
        <v>0</v>
      </c>
      <c r="N17" s="578">
        <v>0</v>
      </c>
      <c r="O17" s="578">
        <v>0</v>
      </c>
      <c r="P17" s="578">
        <v>0</v>
      </c>
      <c r="Q17" s="578">
        <v>0</v>
      </c>
      <c r="R17" s="578">
        <v>0</v>
      </c>
      <c r="S17" s="578">
        <v>0</v>
      </c>
      <c r="T17" s="578">
        <v>0</v>
      </c>
      <c r="U17" s="578">
        <v>0</v>
      </c>
      <c r="V17" s="578">
        <v>0</v>
      </c>
      <c r="W17" s="578">
        <v>0</v>
      </c>
      <c r="X17" s="578">
        <v>0</v>
      </c>
      <c r="Y17" s="578">
        <v>0</v>
      </c>
      <c r="Z17" s="578">
        <v>0</v>
      </c>
      <c r="AA17" s="578">
        <v>0</v>
      </c>
      <c r="AB17" s="578">
        <v>0</v>
      </c>
      <c r="AC17" s="383"/>
    </row>
    <row r="18" spans="1:29" s="32" customFormat="1" ht="12" customHeight="1">
      <c r="A18" s="383"/>
      <c r="B18" s="103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>
        <v>0</v>
      </c>
      <c r="AB18" s="167">
        <v>0</v>
      </c>
      <c r="AC18" s="383"/>
    </row>
    <row r="19" spans="1:29" s="32" customFormat="1" ht="12" customHeight="1">
      <c r="A19" s="383"/>
      <c r="B19" s="101" t="s">
        <v>420</v>
      </c>
      <c r="C19" s="167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f>225000+174892+132971</f>
        <v>532863</v>
      </c>
      <c r="U19" s="167">
        <v>256834</v>
      </c>
      <c r="V19" s="167">
        <v>735342</v>
      </c>
      <c r="W19" s="167">
        <v>279053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383"/>
    </row>
    <row r="20" spans="1:29" s="32" customFormat="1" ht="12" customHeight="1">
      <c r="A20" s="383"/>
      <c r="B20" s="101" t="s">
        <v>421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f>367281+15500</f>
        <v>382781</v>
      </c>
      <c r="U20" s="167">
        <v>80000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383"/>
    </row>
    <row r="21" spans="1:29" s="32" customFormat="1" ht="12" customHeight="1">
      <c r="A21" s="383"/>
      <c r="B21" s="101" t="s">
        <v>422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22444</v>
      </c>
      <c r="U21" s="167">
        <v>35000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383" t="s">
        <v>423</v>
      </c>
    </row>
    <row r="22" spans="1:29" s="32" customFormat="1" ht="12" customHeight="1">
      <c r="A22" s="383"/>
      <c r="B22" s="101" t="s">
        <v>424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250000</v>
      </c>
      <c r="V22" s="167">
        <v>0</v>
      </c>
      <c r="W22" s="167">
        <v>115667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383" t="s">
        <v>425</v>
      </c>
    </row>
    <row r="23" spans="1:29" s="32" customFormat="1" ht="12" customHeight="1">
      <c r="A23" s="383"/>
      <c r="B23" s="101" t="s">
        <v>426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27742</v>
      </c>
      <c r="V23" s="167">
        <v>75000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383"/>
    </row>
    <row r="24" spans="1:29" s="32" customFormat="1" ht="12" customHeight="1">
      <c r="A24" s="383"/>
      <c r="B24" s="101" t="s">
        <v>427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383"/>
    </row>
    <row r="25" spans="1:29" s="32" customFormat="1" ht="12" customHeight="1">
      <c r="A25" s="383" t="s">
        <v>142</v>
      </c>
      <c r="B25" s="856" t="s">
        <v>428</v>
      </c>
      <c r="C25" s="742">
        <f>SUM(C8:C24)</f>
        <v>0</v>
      </c>
      <c r="D25" s="742">
        <f t="shared" ref="D25:V25" si="0">SUM(D8:D24)</f>
        <v>0</v>
      </c>
      <c r="E25" s="742">
        <f t="shared" si="0"/>
        <v>0</v>
      </c>
      <c r="F25" s="742">
        <f t="shared" si="0"/>
        <v>0</v>
      </c>
      <c r="G25" s="742">
        <f t="shared" si="0"/>
        <v>0</v>
      </c>
      <c r="H25" s="742">
        <f t="shared" si="0"/>
        <v>0</v>
      </c>
      <c r="I25" s="742">
        <f t="shared" si="0"/>
        <v>0</v>
      </c>
      <c r="J25" s="742">
        <f t="shared" si="0"/>
        <v>0</v>
      </c>
      <c r="K25" s="742">
        <f t="shared" si="0"/>
        <v>0</v>
      </c>
      <c r="L25" s="742">
        <f t="shared" si="0"/>
        <v>0</v>
      </c>
      <c r="M25" s="742">
        <f t="shared" si="0"/>
        <v>0</v>
      </c>
      <c r="N25" s="742">
        <f t="shared" si="0"/>
        <v>0</v>
      </c>
      <c r="O25" s="742">
        <f t="shared" si="0"/>
        <v>0</v>
      </c>
      <c r="P25" s="742">
        <f t="shared" si="0"/>
        <v>0</v>
      </c>
      <c r="Q25" s="742">
        <f t="shared" si="0"/>
        <v>0</v>
      </c>
      <c r="R25" s="742">
        <f t="shared" si="0"/>
        <v>0</v>
      </c>
      <c r="S25" s="742">
        <f t="shared" si="0"/>
        <v>0</v>
      </c>
      <c r="T25" s="742">
        <f t="shared" si="0"/>
        <v>1019894</v>
      </c>
      <c r="U25" s="742">
        <f t="shared" si="0"/>
        <v>1144750</v>
      </c>
      <c r="V25" s="742">
        <f t="shared" si="0"/>
        <v>856780</v>
      </c>
      <c r="W25" s="742">
        <f t="shared" ref="W25:X25" si="1">SUM(W8:W24)</f>
        <v>585417</v>
      </c>
      <c r="X25" s="742">
        <f t="shared" si="1"/>
        <v>0</v>
      </c>
      <c r="Y25" s="742">
        <f t="shared" ref="Y25:Z25" si="2">SUM(Y8:Y24)</f>
        <v>0</v>
      </c>
      <c r="Z25" s="742">
        <f t="shared" si="2"/>
        <v>0</v>
      </c>
      <c r="AA25" s="742">
        <f t="shared" ref="AA25:AB25" si="3">SUM(AA8:AA24)</f>
        <v>0</v>
      </c>
      <c r="AB25" s="742">
        <f t="shared" si="3"/>
        <v>0</v>
      </c>
      <c r="AC25" s="383"/>
    </row>
    <row r="26" spans="1:29" s="32" customFormat="1" ht="12" customHeight="1">
      <c r="A26" s="383"/>
      <c r="B26" s="9"/>
      <c r="C26" s="190"/>
      <c r="D26" s="190"/>
      <c r="E26" s="190"/>
      <c r="F26" s="190"/>
      <c r="G26" s="190"/>
      <c r="H26" s="190"/>
      <c r="I26" s="190"/>
      <c r="J26" s="190"/>
      <c r="K26" s="19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6" t="s">
        <v>171</v>
      </c>
    </row>
    <row r="27" spans="1:29" s="32" customFormat="1" ht="12" customHeight="1">
      <c r="A27" s="383"/>
      <c r="B27" s="64" t="s">
        <v>429</v>
      </c>
      <c r="C27" s="190"/>
      <c r="D27" s="190"/>
      <c r="E27" s="190"/>
      <c r="F27" s="190"/>
      <c r="G27" s="190"/>
      <c r="H27" s="190"/>
      <c r="I27" s="190"/>
      <c r="J27" s="19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383"/>
    </row>
    <row r="28" spans="1:29" s="32" customFormat="1" ht="12" customHeight="1">
      <c r="A28" s="383"/>
      <c r="B28" s="692" t="s">
        <v>410</v>
      </c>
      <c r="C28" s="579" t="s">
        <v>206</v>
      </c>
      <c r="D28" s="579" t="s">
        <v>206</v>
      </c>
      <c r="E28" s="579" t="s">
        <v>206</v>
      </c>
      <c r="F28" s="579" t="s">
        <v>206</v>
      </c>
      <c r="G28" s="579" t="s">
        <v>206</v>
      </c>
      <c r="H28" s="579" t="s">
        <v>206</v>
      </c>
      <c r="I28" s="579" t="s">
        <v>206</v>
      </c>
      <c r="J28" s="579" t="s">
        <v>206</v>
      </c>
      <c r="K28" s="579" t="s">
        <v>206</v>
      </c>
      <c r="L28" s="579" t="s">
        <v>206</v>
      </c>
      <c r="M28" s="579" t="s">
        <v>206</v>
      </c>
      <c r="N28" s="579" t="s">
        <v>206</v>
      </c>
      <c r="O28" s="579" t="s">
        <v>206</v>
      </c>
      <c r="P28" s="579" t="s">
        <v>206</v>
      </c>
      <c r="Q28" s="580"/>
      <c r="R28" s="580"/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383"/>
    </row>
    <row r="29" spans="1:29" ht="12" customHeight="1">
      <c r="B29" s="577" t="str">
        <f t="shared" ref="B29:B34" si="4">+B12</f>
        <v>General</v>
      </c>
      <c r="C29" s="578">
        <v>0</v>
      </c>
      <c r="D29" s="578">
        <v>0</v>
      </c>
      <c r="E29" s="578">
        <v>0</v>
      </c>
      <c r="F29" s="578">
        <v>0</v>
      </c>
      <c r="G29" s="578">
        <v>0</v>
      </c>
      <c r="H29" s="578">
        <v>0</v>
      </c>
      <c r="I29" s="578">
        <v>0</v>
      </c>
      <c r="J29" s="578">
        <v>0</v>
      </c>
      <c r="K29" s="578">
        <v>0</v>
      </c>
      <c r="L29" s="578">
        <v>0</v>
      </c>
      <c r="M29" s="578">
        <v>0</v>
      </c>
      <c r="N29" s="578">
        <v>0</v>
      </c>
      <c r="O29" s="578">
        <v>0</v>
      </c>
      <c r="P29" s="578">
        <v>0</v>
      </c>
      <c r="Q29" s="578">
        <v>0</v>
      </c>
      <c r="R29" s="578">
        <v>0</v>
      </c>
      <c r="S29" s="578">
        <v>0</v>
      </c>
      <c r="T29" s="578">
        <v>0</v>
      </c>
      <c r="U29" s="578">
        <v>0</v>
      </c>
      <c r="V29" s="578">
        <v>130000</v>
      </c>
      <c r="W29" s="578">
        <v>706379</v>
      </c>
      <c r="X29" s="578">
        <v>0</v>
      </c>
      <c r="Y29" s="578">
        <v>0</v>
      </c>
      <c r="Z29" s="578">
        <v>0</v>
      </c>
      <c r="AA29" s="578">
        <v>0</v>
      </c>
      <c r="AB29" s="578">
        <v>0</v>
      </c>
      <c r="AC29" s="383"/>
    </row>
    <row r="30" spans="1:29" ht="12" customHeight="1">
      <c r="B30" s="577" t="str">
        <f>+B13</f>
        <v>SBRHS Special Purpose</v>
      </c>
      <c r="C30" s="578">
        <v>0</v>
      </c>
      <c r="D30" s="578">
        <v>0</v>
      </c>
      <c r="E30" s="578">
        <v>0</v>
      </c>
      <c r="F30" s="578">
        <v>0</v>
      </c>
      <c r="G30" s="578">
        <v>0</v>
      </c>
      <c r="H30" s="578">
        <v>0</v>
      </c>
      <c r="I30" s="578">
        <v>0</v>
      </c>
      <c r="J30" s="578">
        <v>0</v>
      </c>
      <c r="K30" s="578">
        <v>0</v>
      </c>
      <c r="L30" s="578">
        <v>0</v>
      </c>
      <c r="M30" s="578">
        <v>0</v>
      </c>
      <c r="N30" s="578">
        <v>0</v>
      </c>
      <c r="O30" s="578">
        <v>0</v>
      </c>
      <c r="P30" s="578">
        <v>0</v>
      </c>
      <c r="Q30" s="578">
        <v>0</v>
      </c>
      <c r="R30" s="578">
        <v>2684465</v>
      </c>
      <c r="S30" s="578">
        <v>2552594</v>
      </c>
      <c r="T30" s="578">
        <v>2694331</v>
      </c>
      <c r="U30" s="578">
        <v>2779717</v>
      </c>
      <c r="V30" s="578">
        <v>2747558</v>
      </c>
      <c r="W30" s="578">
        <v>3013899</v>
      </c>
      <c r="X30" s="578">
        <v>3123111</v>
      </c>
      <c r="Y30" s="578">
        <f t="shared" ref="Y30:Z30" si="5">X30*1.025</f>
        <v>3201188.7749999999</v>
      </c>
      <c r="Z30" s="578">
        <f t="shared" si="5"/>
        <v>3281218.4943749998</v>
      </c>
      <c r="AA30" s="578">
        <f t="shared" ref="AA30:AB30" si="6">Z30*1.025</f>
        <v>3363248.9567343746</v>
      </c>
      <c r="AB30" s="578">
        <f t="shared" si="6"/>
        <v>3447330.1806527339</v>
      </c>
      <c r="AC30" s="221"/>
    </row>
    <row r="31" spans="1:29" ht="12" customHeight="1">
      <c r="B31" s="577" t="str">
        <f t="shared" si="4"/>
        <v>#3</v>
      </c>
      <c r="C31" s="578">
        <v>0</v>
      </c>
      <c r="D31" s="578">
        <v>0</v>
      </c>
      <c r="E31" s="578">
        <v>0</v>
      </c>
      <c r="F31" s="578">
        <v>0</v>
      </c>
      <c r="G31" s="578">
        <v>0</v>
      </c>
      <c r="H31" s="578">
        <v>0</v>
      </c>
      <c r="I31" s="578">
        <v>0</v>
      </c>
      <c r="J31" s="578">
        <v>0</v>
      </c>
      <c r="K31" s="578">
        <v>0</v>
      </c>
      <c r="L31" s="578">
        <v>0</v>
      </c>
      <c r="M31" s="578">
        <v>0</v>
      </c>
      <c r="N31" s="578">
        <v>0</v>
      </c>
      <c r="O31" s="578">
        <v>0</v>
      </c>
      <c r="P31" s="578">
        <v>0</v>
      </c>
      <c r="Q31" s="578">
        <v>0</v>
      </c>
      <c r="R31" s="578">
        <v>0</v>
      </c>
      <c r="S31" s="578">
        <v>0</v>
      </c>
      <c r="T31" s="578">
        <v>0</v>
      </c>
      <c r="U31" s="578">
        <v>0</v>
      </c>
      <c r="V31" s="578">
        <v>0</v>
      </c>
      <c r="W31" s="578"/>
      <c r="X31" s="578">
        <v>0</v>
      </c>
      <c r="Y31" s="578">
        <v>0</v>
      </c>
      <c r="Z31" s="578">
        <v>0</v>
      </c>
      <c r="AA31" s="578">
        <v>0</v>
      </c>
      <c r="AB31" s="578">
        <v>0</v>
      </c>
      <c r="AC31" s="221"/>
    </row>
    <row r="32" spans="1:29" ht="12" customHeight="1">
      <c r="B32" s="577" t="str">
        <f t="shared" si="4"/>
        <v>#4</v>
      </c>
      <c r="C32" s="578">
        <v>0</v>
      </c>
      <c r="D32" s="578">
        <v>0</v>
      </c>
      <c r="E32" s="578">
        <v>0</v>
      </c>
      <c r="F32" s="578">
        <v>0</v>
      </c>
      <c r="G32" s="578">
        <v>0</v>
      </c>
      <c r="H32" s="578">
        <v>0</v>
      </c>
      <c r="I32" s="578">
        <v>0</v>
      </c>
      <c r="J32" s="578">
        <v>0</v>
      </c>
      <c r="K32" s="578">
        <v>0</v>
      </c>
      <c r="L32" s="578">
        <v>0</v>
      </c>
      <c r="M32" s="578">
        <v>0</v>
      </c>
      <c r="N32" s="578">
        <v>0</v>
      </c>
      <c r="O32" s="578">
        <v>0</v>
      </c>
      <c r="P32" s="578">
        <v>0</v>
      </c>
      <c r="Q32" s="578">
        <v>0</v>
      </c>
      <c r="R32" s="578">
        <v>0</v>
      </c>
      <c r="S32" s="578">
        <v>0</v>
      </c>
      <c r="T32" s="578">
        <v>0</v>
      </c>
      <c r="U32" s="578">
        <v>0</v>
      </c>
      <c r="V32" s="578">
        <v>0</v>
      </c>
      <c r="W32" s="578">
        <v>0</v>
      </c>
      <c r="X32" s="578">
        <v>0</v>
      </c>
      <c r="Y32" s="578">
        <v>0</v>
      </c>
      <c r="Z32" s="578">
        <v>0</v>
      </c>
      <c r="AA32" s="578">
        <v>0</v>
      </c>
      <c r="AB32" s="578">
        <v>0</v>
      </c>
      <c r="AC32" s="221"/>
    </row>
    <row r="33" spans="1:29" ht="12" customHeight="1">
      <c r="B33" s="577" t="str">
        <f t="shared" si="4"/>
        <v>#5</v>
      </c>
      <c r="C33" s="578">
        <v>0</v>
      </c>
      <c r="D33" s="578">
        <v>0</v>
      </c>
      <c r="E33" s="578">
        <v>0</v>
      </c>
      <c r="F33" s="578">
        <v>0</v>
      </c>
      <c r="G33" s="578">
        <v>0</v>
      </c>
      <c r="H33" s="578">
        <v>0</v>
      </c>
      <c r="I33" s="578">
        <v>0</v>
      </c>
      <c r="J33" s="578">
        <v>0</v>
      </c>
      <c r="K33" s="578">
        <v>0</v>
      </c>
      <c r="L33" s="578">
        <v>0</v>
      </c>
      <c r="M33" s="578">
        <v>0</v>
      </c>
      <c r="N33" s="578">
        <v>0</v>
      </c>
      <c r="O33" s="578">
        <v>0</v>
      </c>
      <c r="P33" s="578">
        <v>0</v>
      </c>
      <c r="Q33" s="578">
        <v>0</v>
      </c>
      <c r="R33" s="578">
        <v>0</v>
      </c>
      <c r="S33" s="578">
        <v>0</v>
      </c>
      <c r="T33" s="578">
        <v>0</v>
      </c>
      <c r="U33" s="578">
        <v>0</v>
      </c>
      <c r="V33" s="578">
        <v>0</v>
      </c>
      <c r="W33" s="578">
        <v>0</v>
      </c>
      <c r="X33" s="578">
        <v>0</v>
      </c>
      <c r="Y33" s="578">
        <v>0</v>
      </c>
      <c r="Z33" s="578">
        <v>0</v>
      </c>
      <c r="AA33" s="578">
        <v>0</v>
      </c>
      <c r="AB33" s="578">
        <v>0</v>
      </c>
      <c r="AC33" s="221"/>
    </row>
    <row r="34" spans="1:29" ht="12" customHeight="1">
      <c r="B34" s="577" t="str">
        <f t="shared" si="4"/>
        <v>#6</v>
      </c>
      <c r="C34" s="578">
        <v>0</v>
      </c>
      <c r="D34" s="578">
        <v>0</v>
      </c>
      <c r="E34" s="578">
        <v>0</v>
      </c>
      <c r="F34" s="578">
        <v>0</v>
      </c>
      <c r="G34" s="578">
        <v>0</v>
      </c>
      <c r="H34" s="578">
        <v>0</v>
      </c>
      <c r="I34" s="578">
        <v>0</v>
      </c>
      <c r="J34" s="578">
        <v>0</v>
      </c>
      <c r="K34" s="578">
        <v>0</v>
      </c>
      <c r="L34" s="578">
        <v>0</v>
      </c>
      <c r="M34" s="578">
        <v>0</v>
      </c>
      <c r="N34" s="578">
        <v>0</v>
      </c>
      <c r="O34" s="578">
        <v>0</v>
      </c>
      <c r="P34" s="578">
        <v>0</v>
      </c>
      <c r="Q34" s="578">
        <v>0</v>
      </c>
      <c r="R34" s="578">
        <v>0</v>
      </c>
      <c r="S34" s="578">
        <v>0</v>
      </c>
      <c r="T34" s="578">
        <v>0</v>
      </c>
      <c r="U34" s="578">
        <v>0</v>
      </c>
      <c r="V34" s="578">
        <v>0</v>
      </c>
      <c r="W34" s="578">
        <v>0</v>
      </c>
      <c r="X34" s="578">
        <v>0</v>
      </c>
      <c r="Y34" s="578">
        <v>0</v>
      </c>
      <c r="Z34" s="578">
        <v>0</v>
      </c>
      <c r="AA34" s="578">
        <v>0</v>
      </c>
      <c r="AB34" s="578">
        <v>0</v>
      </c>
      <c r="AC34" s="221"/>
    </row>
    <row r="35" spans="1:29" ht="12" customHeight="1">
      <c r="B35" s="102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221"/>
    </row>
    <row r="36" spans="1:29" s="32" customFormat="1" ht="12" customHeight="1">
      <c r="A36" s="383"/>
      <c r="B36" s="101" t="s">
        <v>430</v>
      </c>
      <c r="C36" s="167">
        <v>0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525000</v>
      </c>
      <c r="S36" s="167">
        <v>300000</v>
      </c>
      <c r="T36" s="167">
        <f>300000+164728</f>
        <v>464728</v>
      </c>
      <c r="U36" s="167">
        <f>400000+109500</f>
        <v>509500</v>
      </c>
      <c r="V36" s="167">
        <v>450000</v>
      </c>
      <c r="W36" s="167">
        <v>485000</v>
      </c>
      <c r="X36" s="167">
        <v>485000</v>
      </c>
      <c r="Y36" s="167">
        <v>485000</v>
      </c>
      <c r="Z36" s="167">
        <v>485000</v>
      </c>
      <c r="AA36" s="167">
        <v>485001</v>
      </c>
      <c r="AB36" s="167">
        <v>485002</v>
      </c>
      <c r="AC36" s="221"/>
    </row>
    <row r="37" spans="1:29" ht="12" customHeight="1">
      <c r="B37" s="102" t="s">
        <v>431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383"/>
    </row>
    <row r="38" spans="1:29" ht="12" customHeight="1">
      <c r="B38" s="102" t="s">
        <v>432</v>
      </c>
      <c r="C38" s="167">
        <v>0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221"/>
    </row>
    <row r="39" spans="1:29" ht="12" customHeight="1">
      <c r="B39" s="101" t="s">
        <v>420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221"/>
    </row>
    <row r="40" spans="1:29" s="32" customFormat="1" ht="12" customHeight="1">
      <c r="A40" s="383"/>
      <c r="B40" s="102" t="s">
        <v>433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221"/>
    </row>
    <row r="41" spans="1:29" s="32" customFormat="1" ht="12" customHeight="1">
      <c r="A41" s="383"/>
      <c r="B41" s="105" t="s">
        <v>434</v>
      </c>
      <c r="C41" s="167">
        <v>0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383"/>
    </row>
    <row r="42" spans="1:29" s="32" customFormat="1" ht="12" customHeight="1">
      <c r="A42" s="383"/>
      <c r="B42" s="105" t="s">
        <v>435</v>
      </c>
      <c r="C42" s="167">
        <v>0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75000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383"/>
    </row>
    <row r="43" spans="1:29" s="32" customFormat="1" ht="12" customHeight="1">
      <c r="A43" s="383" t="s">
        <v>217</v>
      </c>
      <c r="B43" s="856" t="s">
        <v>436</v>
      </c>
      <c r="C43" s="742">
        <f t="shared" ref="C43:V43" si="7">SUM(C29:C42)</f>
        <v>0</v>
      </c>
      <c r="D43" s="742">
        <f t="shared" si="7"/>
        <v>0</v>
      </c>
      <c r="E43" s="742">
        <f t="shared" si="7"/>
        <v>0</v>
      </c>
      <c r="F43" s="742">
        <f t="shared" si="7"/>
        <v>0</v>
      </c>
      <c r="G43" s="742">
        <f t="shared" si="7"/>
        <v>0</v>
      </c>
      <c r="H43" s="742">
        <f t="shared" si="7"/>
        <v>0</v>
      </c>
      <c r="I43" s="742">
        <f t="shared" si="7"/>
        <v>0</v>
      </c>
      <c r="J43" s="742">
        <f t="shared" si="7"/>
        <v>0</v>
      </c>
      <c r="K43" s="742">
        <f t="shared" si="7"/>
        <v>0</v>
      </c>
      <c r="L43" s="742">
        <f t="shared" si="7"/>
        <v>0</v>
      </c>
      <c r="M43" s="742">
        <f t="shared" si="7"/>
        <v>0</v>
      </c>
      <c r="N43" s="742">
        <f t="shared" si="7"/>
        <v>0</v>
      </c>
      <c r="O43" s="742">
        <f t="shared" si="7"/>
        <v>0</v>
      </c>
      <c r="P43" s="742">
        <f t="shared" si="7"/>
        <v>0</v>
      </c>
      <c r="Q43" s="742">
        <f t="shared" si="7"/>
        <v>0</v>
      </c>
      <c r="R43" s="742">
        <f t="shared" si="7"/>
        <v>3209465</v>
      </c>
      <c r="S43" s="742">
        <f t="shared" si="7"/>
        <v>2852594</v>
      </c>
      <c r="T43" s="742">
        <f t="shared" si="7"/>
        <v>3159059</v>
      </c>
      <c r="U43" s="742">
        <f t="shared" si="7"/>
        <v>3289217</v>
      </c>
      <c r="V43" s="742">
        <f t="shared" si="7"/>
        <v>3402558</v>
      </c>
      <c r="W43" s="742">
        <f t="shared" ref="W43:X43" si="8">SUM(W29:W42)</f>
        <v>4205278</v>
      </c>
      <c r="X43" s="742">
        <f t="shared" si="8"/>
        <v>3608111</v>
      </c>
      <c r="Y43" s="742">
        <f t="shared" ref="Y43:Z43" si="9">SUM(Y29:Y42)</f>
        <v>3686188.7749999999</v>
      </c>
      <c r="Z43" s="742">
        <f t="shared" si="9"/>
        <v>3766218.4943749998</v>
      </c>
      <c r="AA43" s="742">
        <f t="shared" ref="AA43:AB43" si="10">SUM(AA29:AA42)</f>
        <v>3848249.9567343746</v>
      </c>
      <c r="AB43" s="742">
        <f t="shared" si="10"/>
        <v>3932332.1806527339</v>
      </c>
      <c r="AC43" s="383"/>
    </row>
    <row r="44" spans="1:29" ht="12" customHeight="1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06" t="s">
        <v>171</v>
      </c>
    </row>
    <row r="45" spans="1:29" s="32" customFormat="1" ht="12" customHeight="1" thickBot="1">
      <c r="A45" s="383"/>
      <c r="B45" s="261" t="s">
        <v>191</v>
      </c>
      <c r="C45" s="262">
        <f t="shared" ref="C45:V45" si="11">+C25+C43</f>
        <v>0</v>
      </c>
      <c r="D45" s="262">
        <f t="shared" si="11"/>
        <v>0</v>
      </c>
      <c r="E45" s="262">
        <f t="shared" si="11"/>
        <v>0</v>
      </c>
      <c r="F45" s="262">
        <f t="shared" si="11"/>
        <v>0</v>
      </c>
      <c r="G45" s="262">
        <f t="shared" si="11"/>
        <v>0</v>
      </c>
      <c r="H45" s="262">
        <f t="shared" si="11"/>
        <v>0</v>
      </c>
      <c r="I45" s="262">
        <f t="shared" si="11"/>
        <v>0</v>
      </c>
      <c r="J45" s="262">
        <f t="shared" si="11"/>
        <v>0</v>
      </c>
      <c r="K45" s="262">
        <f t="shared" si="11"/>
        <v>0</v>
      </c>
      <c r="L45" s="262">
        <f t="shared" si="11"/>
        <v>0</v>
      </c>
      <c r="M45" s="262">
        <f t="shared" si="11"/>
        <v>0</v>
      </c>
      <c r="N45" s="262">
        <f t="shared" si="11"/>
        <v>0</v>
      </c>
      <c r="O45" s="262">
        <f t="shared" si="11"/>
        <v>0</v>
      </c>
      <c r="P45" s="262">
        <f t="shared" si="11"/>
        <v>0</v>
      </c>
      <c r="Q45" s="262">
        <f t="shared" si="11"/>
        <v>0</v>
      </c>
      <c r="R45" s="262">
        <f t="shared" si="11"/>
        <v>3209465</v>
      </c>
      <c r="S45" s="262">
        <f t="shared" si="11"/>
        <v>2852594</v>
      </c>
      <c r="T45" s="262">
        <f t="shared" si="11"/>
        <v>4178953</v>
      </c>
      <c r="U45" s="262">
        <f t="shared" si="11"/>
        <v>4433967</v>
      </c>
      <c r="V45" s="262">
        <f t="shared" si="11"/>
        <v>4259338</v>
      </c>
      <c r="W45" s="262">
        <f t="shared" ref="W45:X45" si="12">+W25+W43</f>
        <v>4790695</v>
      </c>
      <c r="X45" s="262">
        <f t="shared" si="12"/>
        <v>3608111</v>
      </c>
      <c r="Y45" s="262">
        <f t="shared" ref="Y45:Z45" si="13">+Y25+Y43</f>
        <v>3686188.7749999999</v>
      </c>
      <c r="Z45" s="262">
        <f t="shared" si="13"/>
        <v>3766218.4943749998</v>
      </c>
      <c r="AA45" s="262">
        <f t="shared" ref="AA45:AB45" si="14">+AA25+AA43</f>
        <v>3848249.9567343746</v>
      </c>
      <c r="AB45" s="262">
        <f t="shared" si="14"/>
        <v>3932332.1806527339</v>
      </c>
      <c r="AC45" s="221"/>
    </row>
    <row r="46" spans="1:29" ht="12" customHeight="1" thickTop="1">
      <c r="AC46" s="206" t="s">
        <v>171</v>
      </c>
    </row>
    <row r="47" spans="1:29" ht="12" customHeight="1">
      <c r="B47" s="234" t="s">
        <v>437</v>
      </c>
      <c r="C47" s="106">
        <v>2006</v>
      </c>
      <c r="D47" s="106">
        <v>2007</v>
      </c>
      <c r="E47" s="106">
        <v>2008</v>
      </c>
      <c r="F47" s="106">
        <v>2009</v>
      </c>
      <c r="G47" s="106">
        <v>2010</v>
      </c>
      <c r="H47" s="106">
        <v>2011</v>
      </c>
      <c r="I47" s="106">
        <v>2012</v>
      </c>
      <c r="J47" s="106">
        <v>2013</v>
      </c>
      <c r="K47" s="106">
        <v>2014</v>
      </c>
      <c r="L47" s="106">
        <v>2015</v>
      </c>
      <c r="M47" s="106">
        <v>2016</v>
      </c>
      <c r="N47" s="106">
        <v>2017</v>
      </c>
      <c r="O47" s="106">
        <v>2018</v>
      </c>
      <c r="P47" s="106">
        <v>2019</v>
      </c>
      <c r="Q47" s="106">
        <v>2020</v>
      </c>
      <c r="R47" s="106">
        <v>2021</v>
      </c>
      <c r="S47" s="106">
        <v>2022</v>
      </c>
      <c r="T47" s="106">
        <v>2023</v>
      </c>
      <c r="U47" s="106">
        <v>2024</v>
      </c>
      <c r="V47" s="106">
        <v>2025</v>
      </c>
      <c r="W47" s="106">
        <v>2026</v>
      </c>
      <c r="X47" s="106">
        <v>2027</v>
      </c>
      <c r="Y47" s="106">
        <v>2028</v>
      </c>
      <c r="Z47" s="106">
        <v>2029</v>
      </c>
      <c r="AA47" s="106">
        <v>2030</v>
      </c>
      <c r="AB47" s="106">
        <v>2031</v>
      </c>
      <c r="AC47" s="221"/>
    </row>
    <row r="48" spans="1:29" s="106" customFormat="1" ht="12" customHeight="1">
      <c r="A48" s="222"/>
      <c r="B48" s="158" t="s">
        <v>438</v>
      </c>
      <c r="C48" s="694">
        <v>38534</v>
      </c>
      <c r="D48" s="694">
        <v>38899</v>
      </c>
      <c r="E48" s="694">
        <v>39264</v>
      </c>
      <c r="F48" s="694">
        <v>39630</v>
      </c>
      <c r="G48" s="694">
        <v>39995</v>
      </c>
      <c r="H48" s="694">
        <v>40360</v>
      </c>
      <c r="I48" s="694">
        <v>40725</v>
      </c>
      <c r="J48" s="694">
        <v>41091</v>
      </c>
      <c r="K48" s="694">
        <v>41456</v>
      </c>
      <c r="L48" s="694">
        <v>41821</v>
      </c>
      <c r="M48" s="694">
        <v>42186</v>
      </c>
      <c r="N48" s="694" t="s">
        <v>439</v>
      </c>
      <c r="O48" s="694" t="s">
        <v>440</v>
      </c>
      <c r="P48" s="694" t="s">
        <v>441</v>
      </c>
      <c r="Q48" s="694" t="s">
        <v>442</v>
      </c>
      <c r="R48" s="694" t="s">
        <v>443</v>
      </c>
      <c r="S48" s="694" t="s">
        <v>444</v>
      </c>
      <c r="T48" s="694" t="s">
        <v>445</v>
      </c>
      <c r="U48" s="694" t="s">
        <v>446</v>
      </c>
      <c r="V48" s="693" t="s">
        <v>447</v>
      </c>
      <c r="W48" s="693" t="s">
        <v>448</v>
      </c>
      <c r="X48" s="693" t="s">
        <v>449</v>
      </c>
      <c r="Y48" s="693" t="s">
        <v>450</v>
      </c>
      <c r="Z48" s="693" t="s">
        <v>451</v>
      </c>
      <c r="AA48" s="693" t="s">
        <v>452</v>
      </c>
      <c r="AB48" s="693" t="s">
        <v>453</v>
      </c>
      <c r="AC48" s="221"/>
    </row>
    <row r="49" spans="1:29" ht="12" customHeight="1">
      <c r="A49" s="221" t="s">
        <v>220</v>
      </c>
      <c r="B49" s="366" t="s">
        <v>454</v>
      </c>
      <c r="C49" s="239">
        <f>Revenue!C32</f>
        <v>6542878</v>
      </c>
      <c r="D49" s="239">
        <f>Revenue!D32</f>
        <v>6809728.96</v>
      </c>
      <c r="E49" s="239">
        <f>Revenue!E32</f>
        <v>6579471.1699999999</v>
      </c>
      <c r="F49" s="239">
        <f>Revenue!F32</f>
        <v>7263524</v>
      </c>
      <c r="G49" s="239">
        <f>Revenue!G32</f>
        <v>14505323</v>
      </c>
      <c r="H49" s="239">
        <f>Revenue!H32</f>
        <v>15695796</v>
      </c>
      <c r="I49" s="239">
        <f>Revenue!I32</f>
        <v>14279949</v>
      </c>
      <c r="J49" s="239">
        <f>Revenue!J32</f>
        <v>14424027</v>
      </c>
      <c r="K49" s="239">
        <f>Revenue!K32</f>
        <v>15141278</v>
      </c>
      <c r="L49" s="239">
        <f>Revenue!L32</f>
        <v>15986138</v>
      </c>
      <c r="M49" s="239">
        <f>Revenue!M32</f>
        <v>16979344</v>
      </c>
      <c r="N49" s="239">
        <f>Revenue!N32</f>
        <v>18657453</v>
      </c>
      <c r="O49" s="239">
        <f>Revenue!O32</f>
        <v>19118889</v>
      </c>
      <c r="P49" s="239">
        <f>Revenue!P32</f>
        <v>20337614</v>
      </c>
      <c r="Q49" s="239">
        <f>Revenue!Q32</f>
        <v>21004379</v>
      </c>
      <c r="R49" s="239">
        <f>Revenue!R32</f>
        <v>23760251</v>
      </c>
      <c r="S49" s="239">
        <f>Revenue!S32</f>
        <v>24015395</v>
      </c>
      <c r="T49" s="239">
        <f>Revenue!T32</f>
        <v>25979016</v>
      </c>
      <c r="U49" s="239">
        <f>Revenue!U32</f>
        <v>27239208.859999999</v>
      </c>
      <c r="V49" s="239">
        <f>Revenue!V32</f>
        <v>28027689.880000003</v>
      </c>
      <c r="W49" s="239">
        <f>Revenue!W32</f>
        <v>30108785.649999999</v>
      </c>
      <c r="X49" s="239">
        <f>Revenue!X32</f>
        <v>36910436.266249999</v>
      </c>
      <c r="Y49" s="239">
        <f>Revenue!Y32</f>
        <v>38658294.102906249</v>
      </c>
      <c r="Z49" s="239">
        <f>Revenue!Z32</f>
        <v>39669642.832018904</v>
      </c>
      <c r="AA49" s="239">
        <f>Revenue!AA32</f>
        <v>40682264.665747896</v>
      </c>
      <c r="AB49" s="239">
        <f>Revenue!AB32</f>
        <v>41724908.240817115</v>
      </c>
      <c r="AC49" s="222"/>
    </row>
    <row r="50" spans="1:29" ht="12" customHeight="1">
      <c r="A50" s="386" t="s">
        <v>222</v>
      </c>
      <c r="B50" s="366" t="s">
        <v>455</v>
      </c>
      <c r="C50" s="238">
        <v>0</v>
      </c>
      <c r="D50" s="220">
        <v>0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220">
        <v>476875</v>
      </c>
      <c r="M50" s="227">
        <v>168953</v>
      </c>
      <c r="N50" s="226">
        <v>806891</v>
      </c>
      <c r="O50" s="226">
        <v>1326755</v>
      </c>
      <c r="P50" s="168">
        <v>1096737</v>
      </c>
      <c r="Q50" s="168">
        <v>935244</v>
      </c>
      <c r="R50" s="168">
        <v>1667516</v>
      </c>
      <c r="S50" s="168">
        <v>1019894</v>
      </c>
      <c r="T50" s="168">
        <v>1144750</v>
      </c>
      <c r="U50" s="168">
        <v>910405</v>
      </c>
      <c r="V50" s="168">
        <v>585417</v>
      </c>
      <c r="W50" s="168">
        <f>AVERAGE(R50:V50)</f>
        <v>1065596.3999999999</v>
      </c>
      <c r="X50" s="168">
        <f t="shared" ref="X50:Z50" si="15">AVERAGE(S50:W50)</f>
        <v>945212.4800000001</v>
      </c>
      <c r="Y50" s="168">
        <f t="shared" si="15"/>
        <v>930276.17599999998</v>
      </c>
      <c r="Z50" s="168">
        <f t="shared" si="15"/>
        <v>887381.41119999997</v>
      </c>
      <c r="AA50" s="168">
        <f t="shared" ref="AA50" si="16">AVERAGE(V50:Z50)</f>
        <v>882776.69343999994</v>
      </c>
      <c r="AB50" s="168">
        <f t="shared" ref="AB50" si="17">AVERAGE(W50:AA50)</f>
        <v>942248.63212799991</v>
      </c>
      <c r="AC50" s="206" t="s">
        <v>456</v>
      </c>
    </row>
    <row r="51" spans="1:29" ht="12" customHeight="1">
      <c r="B51" s="743" t="s">
        <v>457</v>
      </c>
      <c r="C51" s="228">
        <f>IF(C50&lt;0,"",IFERROR(C50/C49,""))</f>
        <v>0</v>
      </c>
      <c r="D51" s="228">
        <f t="shared" ref="D51:V51" si="18">IF(D50&lt;0,"",IFERROR(D50/D49,""))</f>
        <v>0</v>
      </c>
      <c r="E51" s="228">
        <f t="shared" si="18"/>
        <v>0</v>
      </c>
      <c r="F51" s="228">
        <f t="shared" si="18"/>
        <v>0</v>
      </c>
      <c r="G51" s="228">
        <f t="shared" si="18"/>
        <v>0</v>
      </c>
      <c r="H51" s="228">
        <f t="shared" si="18"/>
        <v>0</v>
      </c>
      <c r="I51" s="228">
        <f t="shared" si="18"/>
        <v>0</v>
      </c>
      <c r="J51" s="228">
        <f t="shared" si="18"/>
        <v>0</v>
      </c>
      <c r="K51" s="228">
        <f t="shared" si="18"/>
        <v>0</v>
      </c>
      <c r="L51" s="228">
        <f t="shared" si="18"/>
        <v>2.9830531927098339E-2</v>
      </c>
      <c r="M51" s="228">
        <f t="shared" si="18"/>
        <v>9.950502210214953E-3</v>
      </c>
      <c r="N51" s="228">
        <f t="shared" si="18"/>
        <v>4.3247650148174027E-2</v>
      </c>
      <c r="O51" s="228">
        <f t="shared" si="18"/>
        <v>6.9394984195995907E-2</v>
      </c>
      <c r="P51" s="228">
        <f t="shared" si="18"/>
        <v>5.3926532384772373E-2</v>
      </c>
      <c r="Q51" s="228">
        <f t="shared" si="18"/>
        <v>4.452614381029784E-2</v>
      </c>
      <c r="R51" s="228">
        <f t="shared" si="18"/>
        <v>7.0180908442423445E-2</v>
      </c>
      <c r="S51" s="228">
        <f t="shared" si="18"/>
        <v>4.2468341661671606E-2</v>
      </c>
      <c r="T51" s="228">
        <f t="shared" si="18"/>
        <v>4.4064409521900293E-2</v>
      </c>
      <c r="U51" s="228">
        <f t="shared" si="18"/>
        <v>3.3422593316831006E-2</v>
      </c>
      <c r="V51" s="228">
        <f t="shared" si="18"/>
        <v>2.0887094245242873E-2</v>
      </c>
      <c r="W51" s="228">
        <f t="shared" ref="W51:X51" si="19">IF(W50&lt;0,"",IFERROR(W50/W49,""))</f>
        <v>3.5391543597508054E-2</v>
      </c>
      <c r="X51" s="228">
        <f t="shared" si="19"/>
        <v>2.5608271687221407E-2</v>
      </c>
      <c r="Y51" s="228">
        <f t="shared" ref="Y51:Z51" si="20">IF(Y50&lt;0,"",IFERROR(Y50/Y49,""))</f>
        <v>2.4064077259168655E-2</v>
      </c>
      <c r="Z51" s="228">
        <f t="shared" si="20"/>
        <v>2.2369281592920218E-2</v>
      </c>
      <c r="AA51" s="228">
        <f t="shared" ref="AA51:AB51" si="21">IF(AA50&lt;0,"",IFERROR(AA50/AA49,""))</f>
        <v>2.169930068281687E-2</v>
      </c>
      <c r="AB51" s="228">
        <f t="shared" si="21"/>
        <v>2.2582401540340632E-2</v>
      </c>
      <c r="AC51" s="873" t="s">
        <v>458</v>
      </c>
    </row>
    <row r="52" spans="1:29" ht="12" customHeight="1">
      <c r="L52" s="24"/>
      <c r="M52" s="24"/>
      <c r="N52" s="24"/>
      <c r="O52" s="24"/>
      <c r="P52" s="24"/>
      <c r="AC52" s="206" t="s">
        <v>171</v>
      </c>
    </row>
    <row r="53" spans="1:29" ht="12" customHeight="1">
      <c r="B53" s="108" t="s">
        <v>459</v>
      </c>
      <c r="C53" s="695">
        <v>38533</v>
      </c>
      <c r="D53" s="695">
        <v>38898</v>
      </c>
      <c r="E53" s="695">
        <v>39263</v>
      </c>
      <c r="F53" s="695">
        <v>39629</v>
      </c>
      <c r="G53" s="695">
        <v>39994</v>
      </c>
      <c r="H53" s="695">
        <v>40359</v>
      </c>
      <c r="I53" s="695">
        <v>40724</v>
      </c>
      <c r="J53" s="695">
        <v>41090</v>
      </c>
      <c r="K53" s="695">
        <v>41455</v>
      </c>
      <c r="L53" s="695">
        <v>41820</v>
      </c>
      <c r="M53" s="695">
        <v>42185</v>
      </c>
      <c r="N53" s="233">
        <v>42551</v>
      </c>
      <c r="O53" s="233">
        <v>42916</v>
      </c>
      <c r="P53" s="233">
        <v>43281</v>
      </c>
      <c r="Q53" s="233">
        <v>43646</v>
      </c>
      <c r="R53" s="233">
        <v>44012</v>
      </c>
      <c r="S53" s="233">
        <v>44377</v>
      </c>
      <c r="T53" s="233">
        <v>44742</v>
      </c>
      <c r="U53" s="233">
        <v>45107</v>
      </c>
      <c r="V53" s="233">
        <v>45473</v>
      </c>
      <c r="W53" s="233">
        <v>45838</v>
      </c>
      <c r="X53" s="233">
        <v>46203</v>
      </c>
      <c r="Y53" s="233">
        <v>46568</v>
      </c>
      <c r="Z53" s="233">
        <v>46934</v>
      </c>
      <c r="AA53" s="233">
        <v>46935</v>
      </c>
      <c r="AB53" s="233">
        <v>46936</v>
      </c>
      <c r="AC53" s="221"/>
    </row>
    <row r="54" spans="1:29" ht="12" customHeight="1">
      <c r="A54" s="386" t="s">
        <v>226</v>
      </c>
      <c r="B54" s="581" t="str">
        <f t="shared" ref="B54:B59" si="22">+B29</f>
        <v>General</v>
      </c>
      <c r="C54" s="582">
        <v>0</v>
      </c>
      <c r="D54" s="582">
        <v>0</v>
      </c>
      <c r="E54" s="582">
        <v>0</v>
      </c>
      <c r="F54" s="582">
        <v>0</v>
      </c>
      <c r="G54" s="582">
        <v>0</v>
      </c>
      <c r="H54" s="582">
        <v>0</v>
      </c>
      <c r="I54" s="582">
        <v>0</v>
      </c>
      <c r="J54" s="582">
        <v>0</v>
      </c>
      <c r="K54" s="582">
        <v>0</v>
      </c>
      <c r="L54" s="582">
        <v>0</v>
      </c>
      <c r="M54" s="582">
        <v>0</v>
      </c>
      <c r="N54" s="582">
        <v>0</v>
      </c>
      <c r="O54" s="582">
        <v>0</v>
      </c>
      <c r="P54" s="582">
        <v>0</v>
      </c>
      <c r="Q54" s="582">
        <v>0</v>
      </c>
      <c r="R54" s="582"/>
      <c r="S54" s="582">
        <v>1565376</v>
      </c>
      <c r="T54" s="582">
        <v>1565777</v>
      </c>
      <c r="U54" s="582">
        <v>2099894</v>
      </c>
      <c r="V54" s="582">
        <v>2197830</v>
      </c>
      <c r="W54" s="582">
        <f>(V54-W29-V29)*1.05</f>
        <v>1429523.55</v>
      </c>
      <c r="X54" s="582"/>
      <c r="Y54" s="582"/>
      <c r="Z54" s="582"/>
      <c r="AA54" s="582"/>
      <c r="AB54" s="582"/>
      <c r="AC54" s="221"/>
    </row>
    <row r="55" spans="1:29" ht="12" customHeight="1">
      <c r="A55" s="386" t="s">
        <v>226</v>
      </c>
      <c r="B55" s="581" t="str">
        <f t="shared" si="22"/>
        <v>SBRHS Special Purpose</v>
      </c>
      <c r="C55" s="582">
        <v>0</v>
      </c>
      <c r="D55" s="582">
        <v>0</v>
      </c>
      <c r="E55" s="582">
        <v>0</v>
      </c>
      <c r="F55" s="582">
        <v>0</v>
      </c>
      <c r="G55" s="582">
        <v>0</v>
      </c>
      <c r="H55" s="582">
        <v>0</v>
      </c>
      <c r="I55" s="582">
        <v>0</v>
      </c>
      <c r="J55" s="582">
        <v>0</v>
      </c>
      <c r="K55" s="582">
        <v>0</v>
      </c>
      <c r="L55" s="582">
        <v>0</v>
      </c>
      <c r="M55" s="582">
        <v>0</v>
      </c>
      <c r="N55" s="582">
        <v>0</v>
      </c>
      <c r="O55" s="582">
        <v>0</v>
      </c>
      <c r="P55" s="582">
        <v>0</v>
      </c>
      <c r="Q55" s="582">
        <v>0</v>
      </c>
      <c r="R55" s="582"/>
      <c r="S55" s="969" t="s">
        <v>460</v>
      </c>
      <c r="T55" s="582">
        <v>0</v>
      </c>
      <c r="U55" s="582">
        <v>438697</v>
      </c>
      <c r="V55" s="582">
        <v>774502</v>
      </c>
      <c r="W55" s="582">
        <f>V55+Expenditures!W124-'Available Funds'!W30</f>
        <v>797827.64999999991</v>
      </c>
      <c r="X55" s="582"/>
      <c r="Y55" s="582"/>
      <c r="Z55" s="582"/>
      <c r="AA55" s="582"/>
      <c r="AB55" s="582"/>
      <c r="AC55" s="221" t="s">
        <v>461</v>
      </c>
    </row>
    <row r="56" spans="1:29" ht="12" customHeight="1">
      <c r="A56" s="386" t="s">
        <v>226</v>
      </c>
      <c r="B56" s="581" t="str">
        <f t="shared" si="22"/>
        <v>#3</v>
      </c>
      <c r="C56" s="582">
        <v>0</v>
      </c>
      <c r="D56" s="582">
        <v>0</v>
      </c>
      <c r="E56" s="582">
        <v>0</v>
      </c>
      <c r="F56" s="582">
        <v>0</v>
      </c>
      <c r="G56" s="582">
        <v>0</v>
      </c>
      <c r="H56" s="582">
        <v>0</v>
      </c>
      <c r="I56" s="582">
        <v>0</v>
      </c>
      <c r="J56" s="582">
        <v>0</v>
      </c>
      <c r="K56" s="582">
        <v>0</v>
      </c>
      <c r="L56" s="582">
        <v>0</v>
      </c>
      <c r="M56" s="582">
        <v>0</v>
      </c>
      <c r="N56" s="582">
        <v>0</v>
      </c>
      <c r="O56" s="582">
        <v>0</v>
      </c>
      <c r="P56" s="582">
        <v>0</v>
      </c>
      <c r="Q56" s="582">
        <v>0</v>
      </c>
      <c r="R56" s="582"/>
      <c r="S56" s="582"/>
      <c r="T56" s="582"/>
      <c r="U56" s="582"/>
      <c r="V56" s="582"/>
      <c r="W56" s="582"/>
      <c r="X56" s="582"/>
      <c r="Y56" s="582"/>
      <c r="Z56" s="582"/>
      <c r="AA56" s="582"/>
      <c r="AB56" s="582"/>
      <c r="AC56" s="221" t="s">
        <v>461</v>
      </c>
    </row>
    <row r="57" spans="1:29" ht="12" customHeight="1">
      <c r="A57" s="386" t="s">
        <v>226</v>
      </c>
      <c r="B57" s="581" t="str">
        <f t="shared" si="22"/>
        <v>#4</v>
      </c>
      <c r="C57" s="582">
        <v>0</v>
      </c>
      <c r="D57" s="582">
        <v>0</v>
      </c>
      <c r="E57" s="582">
        <v>0</v>
      </c>
      <c r="F57" s="582">
        <v>0</v>
      </c>
      <c r="G57" s="582">
        <v>0</v>
      </c>
      <c r="H57" s="582">
        <v>0</v>
      </c>
      <c r="I57" s="582">
        <v>0</v>
      </c>
      <c r="J57" s="582">
        <v>0</v>
      </c>
      <c r="K57" s="582">
        <v>0</v>
      </c>
      <c r="L57" s="582">
        <v>0</v>
      </c>
      <c r="M57" s="582">
        <v>0</v>
      </c>
      <c r="N57" s="582">
        <v>0</v>
      </c>
      <c r="O57" s="582">
        <v>0</v>
      </c>
      <c r="P57" s="582">
        <v>0</v>
      </c>
      <c r="Q57" s="582">
        <v>0</v>
      </c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221" t="s">
        <v>461</v>
      </c>
    </row>
    <row r="58" spans="1:29" ht="12" customHeight="1">
      <c r="A58" s="386" t="s">
        <v>226</v>
      </c>
      <c r="B58" s="581" t="str">
        <f t="shared" si="22"/>
        <v>#5</v>
      </c>
      <c r="C58" s="582">
        <v>0</v>
      </c>
      <c r="D58" s="582">
        <v>0</v>
      </c>
      <c r="E58" s="582">
        <v>0</v>
      </c>
      <c r="F58" s="582">
        <v>0</v>
      </c>
      <c r="G58" s="582">
        <v>0</v>
      </c>
      <c r="H58" s="582">
        <v>0</v>
      </c>
      <c r="I58" s="582">
        <v>0</v>
      </c>
      <c r="J58" s="582">
        <v>0</v>
      </c>
      <c r="K58" s="582">
        <v>0</v>
      </c>
      <c r="L58" s="582">
        <v>0</v>
      </c>
      <c r="M58" s="582">
        <v>0</v>
      </c>
      <c r="N58" s="582">
        <v>0</v>
      </c>
      <c r="O58" s="582">
        <v>0</v>
      </c>
      <c r="P58" s="582">
        <v>0</v>
      </c>
      <c r="Q58" s="582">
        <v>0</v>
      </c>
      <c r="R58" s="582"/>
      <c r="S58" s="582"/>
      <c r="T58" s="582"/>
      <c r="U58" s="582"/>
      <c r="V58" s="582"/>
      <c r="W58" s="582"/>
      <c r="X58" s="582"/>
      <c r="Y58" s="582"/>
      <c r="Z58" s="582"/>
      <c r="AA58" s="582"/>
      <c r="AB58" s="582"/>
      <c r="AC58" s="221" t="s">
        <v>461</v>
      </c>
    </row>
    <row r="59" spans="1:29" ht="12" customHeight="1">
      <c r="A59" s="386" t="s">
        <v>226</v>
      </c>
      <c r="B59" s="581" t="str">
        <f t="shared" si="22"/>
        <v>#6</v>
      </c>
      <c r="C59" s="582">
        <v>0</v>
      </c>
      <c r="D59" s="582">
        <v>0</v>
      </c>
      <c r="E59" s="582">
        <v>0</v>
      </c>
      <c r="F59" s="582">
        <v>0</v>
      </c>
      <c r="G59" s="582">
        <v>0</v>
      </c>
      <c r="H59" s="582">
        <v>0</v>
      </c>
      <c r="I59" s="582">
        <v>0</v>
      </c>
      <c r="J59" s="582">
        <v>0</v>
      </c>
      <c r="K59" s="582">
        <v>0</v>
      </c>
      <c r="L59" s="582">
        <v>0</v>
      </c>
      <c r="M59" s="582">
        <v>0</v>
      </c>
      <c r="N59" s="582">
        <v>0</v>
      </c>
      <c r="O59" s="582">
        <v>0</v>
      </c>
      <c r="P59" s="582">
        <v>0</v>
      </c>
      <c r="Q59" s="582">
        <v>0</v>
      </c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221" t="s">
        <v>461</v>
      </c>
    </row>
    <row r="60" spans="1:29" ht="12" customHeight="1">
      <c r="B60" s="583" t="s">
        <v>462</v>
      </c>
      <c r="C60" s="228">
        <v>0</v>
      </c>
      <c r="D60" s="228">
        <v>0</v>
      </c>
      <c r="E60" s="228">
        <v>0</v>
      </c>
      <c r="F60" s="228">
        <v>0</v>
      </c>
      <c r="G60" s="228">
        <v>0</v>
      </c>
      <c r="H60" s="228">
        <v>0</v>
      </c>
      <c r="I60" s="228">
        <v>0</v>
      </c>
      <c r="J60" s="228">
        <v>0</v>
      </c>
      <c r="K60" s="228">
        <v>0</v>
      </c>
      <c r="L60" s="228">
        <v>0</v>
      </c>
      <c r="M60" s="228">
        <v>0</v>
      </c>
      <c r="N60" s="228">
        <v>0</v>
      </c>
      <c r="O60" s="228">
        <v>0</v>
      </c>
      <c r="P60" s="228">
        <v>0</v>
      </c>
      <c r="Q60" s="228">
        <v>0</v>
      </c>
      <c r="R60" s="228">
        <f t="shared" ref="R60:V60" si="23">IFERROR(SUM(R54:R59)/R49,"")</f>
        <v>0</v>
      </c>
      <c r="S60" s="228">
        <f t="shared" si="23"/>
        <v>6.5182188342103056E-2</v>
      </c>
      <c r="T60" s="228">
        <f t="shared" si="23"/>
        <v>6.0270835508165511E-2</v>
      </c>
      <c r="U60" s="228">
        <f t="shared" si="23"/>
        <v>9.3196208929836002E-2</v>
      </c>
      <c r="V60" s="228">
        <f t="shared" si="23"/>
        <v>0.10604983902440696</v>
      </c>
      <c r="W60" s="228">
        <f>IFERROR(SUM(W54:W59)/W49,"")</f>
        <v>7.3976786240796136E-2</v>
      </c>
      <c r="X60" s="228">
        <f t="shared" ref="X60:Y60" si="24">IFERROR(SUM(X54:X59)/X49,"")</f>
        <v>0</v>
      </c>
      <c r="Y60" s="228">
        <f t="shared" si="24"/>
        <v>0</v>
      </c>
      <c r="Z60" s="228">
        <f t="shared" ref="Z60:AB60" si="25">IFERROR(SUM(Z54:Z59)/Z49,"")</f>
        <v>0</v>
      </c>
      <c r="AA60" s="228">
        <f t="shared" si="25"/>
        <v>0</v>
      </c>
      <c r="AB60" s="228">
        <f t="shared" si="25"/>
        <v>0</v>
      </c>
      <c r="AC60" s="221" t="s">
        <v>461</v>
      </c>
    </row>
    <row r="61" spans="1:29" ht="12" customHeight="1">
      <c r="A61" s="4"/>
      <c r="AC61" s="206" t="s">
        <v>171</v>
      </c>
    </row>
    <row r="62" spans="1:29" ht="12" customHeight="1">
      <c r="A62" s="221" t="s">
        <v>229</v>
      </c>
      <c r="B62" s="372" t="s">
        <v>463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232">
        <v>0</v>
      </c>
      <c r="K62" s="232">
        <v>0</v>
      </c>
      <c r="L62" s="232">
        <v>0</v>
      </c>
      <c r="M62" s="232">
        <v>0</v>
      </c>
      <c r="N62" s="232">
        <v>0</v>
      </c>
      <c r="O62" s="232">
        <v>0</v>
      </c>
      <c r="P62" s="232">
        <v>0</v>
      </c>
      <c r="Q62" s="168">
        <v>0</v>
      </c>
      <c r="R62" s="168">
        <v>0</v>
      </c>
      <c r="S62" s="168">
        <v>0</v>
      </c>
      <c r="T62" s="168">
        <v>0</v>
      </c>
      <c r="U62" s="168">
        <v>0</v>
      </c>
      <c r="V62" s="168">
        <v>0</v>
      </c>
      <c r="W62" s="168">
        <v>0</v>
      </c>
      <c r="X62" s="168">
        <v>0</v>
      </c>
      <c r="Y62" s="168">
        <v>0</v>
      </c>
      <c r="Z62" s="168">
        <v>0</v>
      </c>
      <c r="AA62" s="168">
        <v>1</v>
      </c>
      <c r="AB62" s="168">
        <v>2</v>
      </c>
      <c r="AC62" s="221"/>
    </row>
    <row r="63" spans="1:29" ht="12" customHeight="1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09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1" t="s">
        <v>461</v>
      </c>
    </row>
    <row r="64" spans="1:29" ht="12" customHeight="1">
      <c r="C64" s="107"/>
      <c r="D64" s="107"/>
      <c r="E64" s="107"/>
      <c r="F64" s="107"/>
      <c r="G64" s="107"/>
      <c r="H64" s="107"/>
      <c r="I64" s="107"/>
      <c r="J64" s="107"/>
      <c r="AC64" s="221"/>
    </row>
    <row r="65" spans="1:29" ht="12" customHeight="1">
      <c r="A65" s="386" t="s">
        <v>232</v>
      </c>
      <c r="B65" s="108" t="s">
        <v>464</v>
      </c>
      <c r="AC65" s="221"/>
    </row>
    <row r="66" spans="1:29" ht="12" customHeight="1">
      <c r="B66" s="581" t="str">
        <f t="shared" ref="B66:B71" si="26">+B54</f>
        <v>General</v>
      </c>
      <c r="C66" s="696"/>
      <c r="D66" s="696"/>
      <c r="E66" s="696"/>
      <c r="F66" s="696"/>
      <c r="G66" s="696"/>
      <c r="H66" s="696"/>
      <c r="I66" s="696"/>
      <c r="J66" s="697"/>
      <c r="K66" s="697"/>
      <c r="L66" s="697"/>
      <c r="M66" s="697"/>
      <c r="N66" s="696"/>
      <c r="O66" s="696"/>
      <c r="P66" s="696"/>
      <c r="Q66" s="696"/>
      <c r="R66" s="696"/>
      <c r="S66" s="582">
        <f t="shared" ref="S66:Z71" si="27">IF(S54&gt;0,0,IF(R54&gt;0,+R54+S12-S29,R66+S12-S29))*1.01</f>
        <v>0</v>
      </c>
      <c r="T66" s="582">
        <f t="shared" si="27"/>
        <v>0</v>
      </c>
      <c r="U66" s="582">
        <f t="shared" si="27"/>
        <v>0</v>
      </c>
      <c r="V66" s="582">
        <f t="shared" si="27"/>
        <v>0</v>
      </c>
      <c r="W66" s="582">
        <f t="shared" si="27"/>
        <v>0</v>
      </c>
      <c r="X66" s="582">
        <f t="shared" si="27"/>
        <v>1443818.7855</v>
      </c>
      <c r="Y66" s="582">
        <f t="shared" si="27"/>
        <v>1458256.9733549999</v>
      </c>
      <c r="Z66" s="582">
        <f t="shared" si="27"/>
        <v>1472839.54308855</v>
      </c>
      <c r="AA66" s="582">
        <f t="shared" ref="AA66:AA71" si="28">IF(AA54&gt;0,0,IF(Z54&gt;0,+Z54+AA12-AA29,Z66+AA12-AA29))*1.01</f>
        <v>1487567.9385194355</v>
      </c>
      <c r="AB66" s="582">
        <f t="shared" ref="AB66:AB71" si="29">IF(AB54&gt;0,0,IF(AA54&gt;0,+AA54+AB12-AB29,AA66+AB12-AB29))*1.01</f>
        <v>1502443.6179046298</v>
      </c>
      <c r="AC66" s="221"/>
    </row>
    <row r="67" spans="1:29" ht="12" customHeight="1">
      <c r="B67" s="581" t="str">
        <f t="shared" si="26"/>
        <v>SBRHS Special Purpose</v>
      </c>
      <c r="C67" s="696"/>
      <c r="D67" s="696"/>
      <c r="E67" s="696"/>
      <c r="F67" s="696"/>
      <c r="G67" s="696"/>
      <c r="H67" s="696"/>
      <c r="I67" s="696"/>
      <c r="J67" s="697"/>
      <c r="K67" s="697"/>
      <c r="L67" s="697"/>
      <c r="M67" s="697"/>
      <c r="N67" s="696"/>
      <c r="O67" s="696"/>
      <c r="P67" s="696"/>
      <c r="Q67" s="696"/>
      <c r="R67" s="696"/>
      <c r="S67" s="582">
        <f t="shared" si="27"/>
        <v>0</v>
      </c>
      <c r="T67" s="582">
        <v>0</v>
      </c>
      <c r="U67" s="582">
        <f t="shared" si="27"/>
        <v>0</v>
      </c>
      <c r="V67" s="582">
        <f t="shared" si="27"/>
        <v>0</v>
      </c>
      <c r="W67" s="582"/>
      <c r="X67" s="582">
        <f>W55+Expenditures!X124-'Available Funds'!X30</f>
        <v>787871.91624999931</v>
      </c>
      <c r="Y67" s="582">
        <f>X67+Expenditures!Y124-'Available Funds'!Y30</f>
        <v>777667.28915624833</v>
      </c>
      <c r="Z67" s="582">
        <f>Y67+Expenditures!Z124-'Available Funds'!Z30</f>
        <v>767207.5463851532</v>
      </c>
      <c r="AA67" s="582">
        <f>Z67+Expenditures!AA124-'Available Funds'!AA30</f>
        <v>756486.31004478037</v>
      </c>
      <c r="AB67" s="582">
        <f>AA67+Expenditures!AB124-'Available Funds'!AB30</f>
        <v>745497.04279589793</v>
      </c>
      <c r="AC67" s="206" t="s">
        <v>171</v>
      </c>
    </row>
    <row r="68" spans="1:29" ht="12" customHeight="1">
      <c r="B68" s="581" t="str">
        <f t="shared" si="26"/>
        <v>#3</v>
      </c>
      <c r="C68" s="696"/>
      <c r="D68" s="696"/>
      <c r="E68" s="696"/>
      <c r="F68" s="696"/>
      <c r="G68" s="696"/>
      <c r="H68" s="696"/>
      <c r="I68" s="696"/>
      <c r="J68" s="697"/>
      <c r="K68" s="697"/>
      <c r="L68" s="697"/>
      <c r="M68" s="697"/>
      <c r="N68" s="696"/>
      <c r="O68" s="696"/>
      <c r="P68" s="696"/>
      <c r="Q68" s="696"/>
      <c r="R68" s="696"/>
      <c r="S68" s="582">
        <f t="shared" si="27"/>
        <v>0</v>
      </c>
      <c r="T68" s="582">
        <f t="shared" si="27"/>
        <v>0</v>
      </c>
      <c r="U68" s="582">
        <f t="shared" si="27"/>
        <v>0</v>
      </c>
      <c r="V68" s="582">
        <f t="shared" si="27"/>
        <v>0</v>
      </c>
      <c r="W68" s="582">
        <f t="shared" si="27"/>
        <v>0</v>
      </c>
      <c r="X68" s="582">
        <f t="shared" si="27"/>
        <v>0</v>
      </c>
      <c r="Y68" s="582">
        <f t="shared" si="27"/>
        <v>0</v>
      </c>
      <c r="Z68" s="582">
        <f t="shared" si="27"/>
        <v>0</v>
      </c>
      <c r="AA68" s="582">
        <f t="shared" si="28"/>
        <v>0</v>
      </c>
      <c r="AB68" s="582">
        <f t="shared" si="29"/>
        <v>0</v>
      </c>
      <c r="AC68" s="206" t="s">
        <v>171</v>
      </c>
    </row>
    <row r="69" spans="1:29" ht="12" customHeight="1">
      <c r="B69" s="581" t="str">
        <f t="shared" si="26"/>
        <v>#4</v>
      </c>
      <c r="C69" s="696"/>
      <c r="D69" s="696"/>
      <c r="E69" s="696"/>
      <c r="F69" s="696"/>
      <c r="G69" s="696"/>
      <c r="H69" s="696"/>
      <c r="I69" s="696"/>
      <c r="J69" s="697"/>
      <c r="K69" s="697"/>
      <c r="L69" s="697"/>
      <c r="M69" s="697"/>
      <c r="N69" s="696"/>
      <c r="O69" s="696"/>
      <c r="P69" s="696"/>
      <c r="Q69" s="696"/>
      <c r="R69" s="696"/>
      <c r="S69" s="582">
        <f t="shared" si="27"/>
        <v>0</v>
      </c>
      <c r="T69" s="582">
        <f t="shared" si="27"/>
        <v>0</v>
      </c>
      <c r="U69" s="582">
        <f t="shared" si="27"/>
        <v>0</v>
      </c>
      <c r="V69" s="582">
        <f t="shared" si="27"/>
        <v>0</v>
      </c>
      <c r="W69" s="582">
        <f t="shared" si="27"/>
        <v>0</v>
      </c>
      <c r="X69" s="582">
        <f t="shared" si="27"/>
        <v>0</v>
      </c>
      <c r="Y69" s="582">
        <f t="shared" si="27"/>
        <v>0</v>
      </c>
      <c r="Z69" s="582">
        <f t="shared" si="27"/>
        <v>0</v>
      </c>
      <c r="AA69" s="582">
        <f t="shared" si="28"/>
        <v>0</v>
      </c>
      <c r="AB69" s="582">
        <f t="shared" si="29"/>
        <v>0</v>
      </c>
      <c r="AC69" s="206" t="s">
        <v>171</v>
      </c>
    </row>
    <row r="70" spans="1:29" ht="12" customHeight="1">
      <c r="B70" s="581" t="str">
        <f t="shared" si="26"/>
        <v>#5</v>
      </c>
      <c r="C70" s="696"/>
      <c r="D70" s="696"/>
      <c r="E70" s="696"/>
      <c r="F70" s="696"/>
      <c r="G70" s="696"/>
      <c r="H70" s="696"/>
      <c r="I70" s="696"/>
      <c r="J70" s="697"/>
      <c r="K70" s="697"/>
      <c r="L70" s="697"/>
      <c r="M70" s="697"/>
      <c r="N70" s="696"/>
      <c r="O70" s="696"/>
      <c r="P70" s="696"/>
      <c r="Q70" s="696"/>
      <c r="R70" s="696"/>
      <c r="S70" s="582">
        <f t="shared" si="27"/>
        <v>0</v>
      </c>
      <c r="T70" s="582">
        <f t="shared" si="27"/>
        <v>0</v>
      </c>
      <c r="U70" s="582">
        <f t="shared" si="27"/>
        <v>0</v>
      </c>
      <c r="V70" s="582">
        <f t="shared" si="27"/>
        <v>0</v>
      </c>
      <c r="W70" s="582">
        <f t="shared" si="27"/>
        <v>0</v>
      </c>
      <c r="X70" s="582">
        <f t="shared" si="27"/>
        <v>0</v>
      </c>
      <c r="Y70" s="582">
        <f t="shared" si="27"/>
        <v>0</v>
      </c>
      <c r="Z70" s="582">
        <f t="shared" si="27"/>
        <v>0</v>
      </c>
      <c r="AA70" s="582">
        <f t="shared" si="28"/>
        <v>0</v>
      </c>
      <c r="AB70" s="582">
        <f t="shared" si="29"/>
        <v>0</v>
      </c>
      <c r="AC70" s="206" t="s">
        <v>171</v>
      </c>
    </row>
    <row r="71" spans="1:29" ht="12" customHeight="1">
      <c r="B71" s="581" t="str">
        <f t="shared" si="26"/>
        <v>#6</v>
      </c>
      <c r="C71" s="696"/>
      <c r="D71" s="696"/>
      <c r="E71" s="696"/>
      <c r="F71" s="696"/>
      <c r="G71" s="696"/>
      <c r="H71" s="696"/>
      <c r="I71" s="696"/>
      <c r="J71" s="697"/>
      <c r="K71" s="697"/>
      <c r="L71" s="697"/>
      <c r="M71" s="697"/>
      <c r="N71" s="696"/>
      <c r="O71" s="696"/>
      <c r="P71" s="696"/>
      <c r="Q71" s="696"/>
      <c r="R71" s="696"/>
      <c r="S71" s="582">
        <f t="shared" si="27"/>
        <v>0</v>
      </c>
      <c r="T71" s="582">
        <f t="shared" si="27"/>
        <v>0</v>
      </c>
      <c r="U71" s="582">
        <f t="shared" si="27"/>
        <v>0</v>
      </c>
      <c r="V71" s="582">
        <f t="shared" si="27"/>
        <v>0</v>
      </c>
      <c r="W71" s="582">
        <f t="shared" si="27"/>
        <v>0</v>
      </c>
      <c r="X71" s="582">
        <f t="shared" si="27"/>
        <v>0</v>
      </c>
      <c r="Y71" s="582">
        <f t="shared" si="27"/>
        <v>0</v>
      </c>
      <c r="Z71" s="582">
        <f t="shared" si="27"/>
        <v>0</v>
      </c>
      <c r="AA71" s="582">
        <f t="shared" si="28"/>
        <v>0</v>
      </c>
      <c r="AB71" s="582">
        <f t="shared" si="29"/>
        <v>0</v>
      </c>
      <c r="AC71" s="206" t="s">
        <v>171</v>
      </c>
    </row>
    <row r="72" spans="1:29" ht="12" customHeight="1">
      <c r="A72" s="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06" t="s">
        <v>171</v>
      </c>
    </row>
    <row r="73" spans="1:29" ht="12" customHeight="1">
      <c r="B73" s="37" t="s">
        <v>463</v>
      </c>
      <c r="C73" s="698"/>
      <c r="D73" s="698"/>
      <c r="E73" s="698"/>
      <c r="F73" s="698"/>
      <c r="G73" s="698"/>
      <c r="H73" s="698"/>
      <c r="I73" s="698"/>
      <c r="J73" s="699"/>
      <c r="K73" s="699"/>
      <c r="L73" s="699"/>
      <c r="M73" s="699"/>
      <c r="N73" s="698"/>
      <c r="O73" s="698"/>
      <c r="P73" s="700"/>
      <c r="Q73" s="700"/>
      <c r="R73" s="700"/>
      <c r="S73" s="330">
        <f t="shared" ref="S73:Z73" si="30">IF(S62&gt;0,0,IF(R62&gt;0,+R62+S21,R73+S21))*1.005</f>
        <v>0</v>
      </c>
      <c r="T73" s="330">
        <f t="shared" si="30"/>
        <v>22556.219999999998</v>
      </c>
      <c r="U73" s="330">
        <f t="shared" si="30"/>
        <v>57844.001099999994</v>
      </c>
      <c r="V73" s="330">
        <f t="shared" si="30"/>
        <v>58133.221105499986</v>
      </c>
      <c r="W73" s="330">
        <f t="shared" si="30"/>
        <v>58423.887211027482</v>
      </c>
      <c r="X73" s="330">
        <f t="shared" si="30"/>
        <v>58716.006647082613</v>
      </c>
      <c r="Y73" s="330">
        <f t="shared" si="30"/>
        <v>59009.586680318018</v>
      </c>
      <c r="Z73" s="330">
        <f t="shared" si="30"/>
        <v>59304.634613719601</v>
      </c>
      <c r="AA73" s="330">
        <f t="shared" ref="AA73" si="31">IF(AA62&gt;0,0,IF(Z62&gt;0,+Z62+AA21,Z73+AA21))*1.005</f>
        <v>0</v>
      </c>
      <c r="AB73" s="330">
        <f t="shared" ref="AB73" si="32">IF(AB62&gt;0,0,IF(AA62&gt;0,+AA62+AB21,AA73+AB21))*1.005</f>
        <v>0</v>
      </c>
      <c r="AC73" s="221"/>
    </row>
    <row r="74" spans="1:29" ht="12" customHeight="1">
      <c r="O74" s="21"/>
      <c r="P74" s="21"/>
      <c r="Q74" s="21"/>
      <c r="R74" s="21"/>
      <c r="S74" s="21"/>
      <c r="T74" s="21"/>
      <c r="U74" s="21"/>
      <c r="AC74" s="206" t="s">
        <v>171</v>
      </c>
    </row>
    <row r="75" spans="1:29" ht="12" customHeight="1">
      <c r="A75" s="383" t="s">
        <v>142</v>
      </c>
      <c r="B75" s="4" t="s">
        <v>465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29" ht="12" customHeight="1">
      <c r="A76" s="383" t="s">
        <v>217</v>
      </c>
      <c r="B76" s="4" t="s">
        <v>466</v>
      </c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29" ht="12" customHeight="1">
      <c r="A77" s="221" t="s">
        <v>220</v>
      </c>
      <c r="B77" s="4" t="s">
        <v>467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9" ht="12" customHeight="1">
      <c r="A78" s="221" t="s">
        <v>222</v>
      </c>
      <c r="B78" s="4" t="s">
        <v>468</v>
      </c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9" ht="12" customHeight="1">
      <c r="A79" s="387" t="s">
        <v>226</v>
      </c>
      <c r="B79" s="4" t="s">
        <v>469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9" ht="12" customHeight="1">
      <c r="A80" s="221" t="s">
        <v>229</v>
      </c>
      <c r="B80" s="4" t="s">
        <v>470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28" ht="12" customHeight="1">
      <c r="A81" s="386" t="s">
        <v>232</v>
      </c>
      <c r="B81" s="4" t="s">
        <v>471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:28" ht="12" customHeight="1">
      <c r="B82" s="4" t="s">
        <v>472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28" ht="12" customHeight="1">
      <c r="D83" s="235"/>
      <c r="E83" s="236"/>
      <c r="F83" s="236"/>
      <c r="G83" s="237"/>
    </row>
    <row r="84" spans="1:28" ht="12" customHeight="1">
      <c r="D84" s="235"/>
      <c r="E84" s="236"/>
      <c r="F84" s="236"/>
      <c r="G84" s="237"/>
    </row>
    <row r="85" spans="1:28" ht="12" customHeight="1">
      <c r="D85" s="235"/>
      <c r="E85" s="236"/>
      <c r="F85" s="236"/>
      <c r="G85" s="237"/>
    </row>
    <row r="86" spans="1:28" ht="12" customHeight="1">
      <c r="D86" s="235"/>
      <c r="E86" s="236"/>
      <c r="F86" s="236"/>
      <c r="G86" s="237"/>
    </row>
    <row r="87" spans="1:28" ht="12" customHeight="1">
      <c r="D87" s="235"/>
      <c r="E87" s="236"/>
      <c r="F87" s="236"/>
      <c r="G87" s="237"/>
    </row>
    <row r="88" spans="1:28" ht="12" customHeight="1">
      <c r="D88" s="235"/>
      <c r="E88" s="236"/>
      <c r="F88" s="236"/>
      <c r="G88" s="237"/>
    </row>
    <row r="89" spans="1:28" ht="12" customHeight="1">
      <c r="D89" s="235"/>
      <c r="E89" s="236"/>
      <c r="F89" s="236"/>
      <c r="G89" s="237"/>
    </row>
    <row r="90" spans="1:28" ht="12" customHeight="1">
      <c r="D90" s="235"/>
      <c r="E90" s="236"/>
      <c r="F90" s="236"/>
      <c r="G90" s="237"/>
    </row>
    <row r="91" spans="1:28" ht="12" customHeight="1">
      <c r="D91" s="235"/>
      <c r="E91" s="236"/>
      <c r="F91" s="236"/>
      <c r="G91" s="237"/>
    </row>
    <row r="92" spans="1:28" ht="12" customHeight="1">
      <c r="D92" s="235"/>
      <c r="E92" s="236"/>
      <c r="F92" s="236"/>
      <c r="G92" s="237"/>
    </row>
    <row r="93" spans="1:28" ht="12" customHeight="1">
      <c r="D93" s="235"/>
      <c r="E93" s="236"/>
      <c r="F93" s="236"/>
      <c r="G93" s="237"/>
    </row>
    <row r="94" spans="1:28" ht="12" customHeight="1">
      <c r="D94" s="235"/>
      <c r="E94" s="236"/>
      <c r="F94" s="236"/>
      <c r="G94" s="237"/>
    </row>
    <row r="95" spans="1:28" ht="12" customHeight="1">
      <c r="D95" s="235"/>
      <c r="E95" s="236"/>
      <c r="F95" s="236"/>
      <c r="G95" s="237"/>
    </row>
    <row r="96" spans="1:28" ht="12" customHeight="1">
      <c r="D96" s="235"/>
      <c r="E96" s="236"/>
      <c r="F96" s="236"/>
      <c r="G96" s="237"/>
    </row>
    <row r="97" spans="4:7" ht="12" customHeight="1">
      <c r="D97" s="235"/>
      <c r="E97" s="236"/>
      <c r="F97" s="236"/>
      <c r="G97" s="237"/>
    </row>
    <row r="98" spans="4:7" ht="12" customHeight="1"/>
    <row r="99" spans="4:7" ht="12" customHeight="1"/>
    <row r="100" spans="4:7" ht="12" customHeight="1"/>
    <row r="101" spans="4:7" ht="12" customHeight="1"/>
    <row r="102" spans="4:7" ht="12" customHeight="1"/>
    <row r="103" spans="4:7" ht="12" customHeight="1"/>
    <row r="104" spans="4:7" ht="12" customHeight="1"/>
    <row r="105" spans="4:7" ht="12" customHeight="1"/>
    <row r="106" spans="4:7" ht="12" customHeight="1"/>
    <row r="107" spans="4:7" ht="12" customHeight="1"/>
    <row r="108" spans="4:7" ht="12" customHeight="1"/>
    <row r="112" spans="4:7">
      <c r="E112" s="187"/>
    </row>
    <row r="113" spans="5:5">
      <c r="E113" s="187"/>
    </row>
    <row r="114" spans="5:5">
      <c r="E114" s="187"/>
    </row>
    <row r="115" spans="5:5">
      <c r="E115" s="187"/>
    </row>
    <row r="116" spans="5:5">
      <c r="E116" s="187"/>
    </row>
    <row r="117" spans="5:5">
      <c r="E117" s="187"/>
    </row>
    <row r="118" spans="5:5">
      <c r="E118" s="187"/>
    </row>
    <row r="119" spans="5:5">
      <c r="E119" s="187"/>
    </row>
    <row r="120" spans="5:5">
      <c r="E120" s="187"/>
    </row>
    <row r="121" spans="5:5">
      <c r="E121" s="187"/>
    </row>
    <row r="122" spans="5:5">
      <c r="E122" s="187"/>
    </row>
    <row r="123" spans="5:5">
      <c r="E123" s="187"/>
    </row>
    <row r="124" spans="5:5">
      <c r="E124" s="187"/>
    </row>
    <row r="125" spans="5:5">
      <c r="E125" s="187">
        <f>SUM(E113:E124)</f>
        <v>0</v>
      </c>
    </row>
    <row r="128" spans="5:5">
      <c r="E128" s="187"/>
    </row>
  </sheetData>
  <phoneticPr fontId="40" type="noConversion"/>
  <pageMargins left="0.25" right="0.25" top="0.5" bottom="0.5" header="0.3" footer="0.3"/>
  <pageSetup scale="77" orientation="landscape" r:id="rId1"/>
  <headerFooter>
    <oddFooter>&amp;L&amp;9&amp;A&amp;C&amp;10page &amp;P of &amp;N&amp;R&amp;9&amp;D</oddFooter>
  </headerFooter>
  <rowBreaks count="1" manualBreakCount="1">
    <brk id="46" max="22" man="1"/>
  </rowBreaks>
  <ignoredErrors>
    <ignoredError sqref="R60:V60 W60:Z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Commonwealth of 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Template</dc:title>
  <dc:subject/>
  <dc:creator>Division of Local Services</dc:creator>
  <cp:keywords/>
  <dc:description/>
  <cp:lastModifiedBy/>
  <cp:revision/>
  <dcterms:created xsi:type="dcterms:W3CDTF">2016-01-11T15:30:13Z</dcterms:created>
  <dcterms:modified xsi:type="dcterms:W3CDTF">2026-05-07T16:27:29Z</dcterms:modified>
  <cp:category/>
  <cp:contentStatus/>
</cp:coreProperties>
</file>